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170830_langfr_Geldanlage" sheetId="1" r:id="rId1"/>
    <sheet name="171004_langfr_Geldanlage" sheetId="2" r:id="rId2"/>
    <sheet name="171004_Turnaroundwerte" sheetId="3" r:id="rId3"/>
    <sheet name="171004_abgestrafte_Werte" sheetId="4" r:id="rId4"/>
    <sheet name="171213_2018_Empfehlungsliste" sheetId="5" r:id="rId5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5" l="1"/>
  <c r="B11" i="5"/>
  <c r="B21" i="4"/>
  <c r="B20" i="4"/>
  <c r="B22" i="3"/>
  <c r="B21" i="3"/>
  <c r="B17" i="2"/>
  <c r="M5" i="5"/>
  <c r="M4" i="5"/>
  <c r="M3" i="5"/>
  <c r="M2" i="5"/>
  <c r="O5" i="5"/>
  <c r="P5" i="5"/>
  <c r="O3" i="5"/>
  <c r="P3" i="5"/>
  <c r="O4" i="5"/>
  <c r="P4" i="5"/>
  <c r="O2" i="5"/>
  <c r="P2" i="5"/>
  <c r="P6" i="5"/>
  <c r="Q5" i="5"/>
  <c r="Q4" i="5"/>
  <c r="H5" i="5"/>
  <c r="H2" i="5"/>
  <c r="H3" i="5"/>
  <c r="H4" i="5"/>
  <c r="H6" i="5"/>
  <c r="I5" i="5"/>
  <c r="I4" i="5"/>
  <c r="S8" i="5"/>
  <c r="S6" i="5"/>
  <c r="Q3" i="5"/>
  <c r="Q6" i="5"/>
  <c r="I3" i="5"/>
  <c r="I6" i="5"/>
  <c r="S5" i="5"/>
  <c r="S4" i="5"/>
  <c r="S3" i="5"/>
  <c r="S2" i="5"/>
  <c r="O8" i="3"/>
  <c r="O7" i="1"/>
  <c r="P7" i="1"/>
  <c r="O8" i="1"/>
  <c r="P8" i="1"/>
  <c r="O9" i="1"/>
  <c r="P9" i="1"/>
  <c r="O10" i="1"/>
  <c r="P10" i="1"/>
  <c r="O5" i="1"/>
  <c r="P5" i="1"/>
  <c r="O6" i="1"/>
  <c r="P6" i="1"/>
  <c r="O11" i="1"/>
  <c r="P11" i="1"/>
  <c r="O2" i="1"/>
  <c r="P2" i="1"/>
  <c r="O3" i="1"/>
  <c r="P3" i="1"/>
  <c r="O4" i="1"/>
  <c r="P4" i="1"/>
  <c r="P12" i="1"/>
  <c r="S12" i="1"/>
  <c r="T12" i="4"/>
  <c r="P2" i="4"/>
  <c r="Q2" i="4"/>
  <c r="P3" i="4"/>
  <c r="Q3" i="4"/>
  <c r="P4" i="4"/>
  <c r="Q4" i="4"/>
  <c r="P5" i="4"/>
  <c r="Q5" i="4"/>
  <c r="P6" i="4"/>
  <c r="Q6" i="4"/>
  <c r="P7" i="4"/>
  <c r="Q7" i="4"/>
  <c r="P8" i="4"/>
  <c r="Q8" i="4"/>
  <c r="P9" i="4"/>
  <c r="Q9" i="4"/>
  <c r="Q10" i="4"/>
  <c r="N2" i="4"/>
  <c r="H2" i="4"/>
  <c r="N3" i="4"/>
  <c r="H3" i="4"/>
  <c r="N4" i="4"/>
  <c r="H4" i="4"/>
  <c r="N5" i="4"/>
  <c r="H5" i="4"/>
  <c r="N6" i="4"/>
  <c r="H6" i="4"/>
  <c r="N7" i="4"/>
  <c r="H7" i="4"/>
  <c r="N8" i="4"/>
  <c r="H8" i="4"/>
  <c r="N9" i="4"/>
  <c r="H9" i="4"/>
  <c r="H10" i="4"/>
  <c r="T10" i="4"/>
  <c r="R3" i="4"/>
  <c r="R5" i="4"/>
  <c r="R7" i="4"/>
  <c r="R8" i="4"/>
  <c r="R9" i="4"/>
  <c r="R10" i="4"/>
  <c r="I3" i="4"/>
  <c r="I5" i="4"/>
  <c r="I7" i="4"/>
  <c r="I8" i="4"/>
  <c r="I9" i="4"/>
  <c r="I10" i="4"/>
  <c r="T9" i="4"/>
  <c r="T8" i="4"/>
  <c r="T7" i="4"/>
  <c r="T6" i="4"/>
  <c r="T5" i="4"/>
  <c r="T4" i="4"/>
  <c r="T3" i="4"/>
  <c r="T2" i="4"/>
  <c r="S13" i="3"/>
  <c r="O2" i="3"/>
  <c r="P2" i="3"/>
  <c r="O3" i="3"/>
  <c r="P3" i="3"/>
  <c r="O4" i="3"/>
  <c r="P4" i="3"/>
  <c r="O5" i="3"/>
  <c r="P5" i="3"/>
  <c r="O6" i="3"/>
  <c r="P6" i="3"/>
  <c r="O7" i="3"/>
  <c r="P7" i="3"/>
  <c r="P8" i="3"/>
  <c r="O9" i="3"/>
  <c r="P9" i="3"/>
  <c r="O10" i="3"/>
  <c r="P10" i="3"/>
  <c r="P11" i="3"/>
  <c r="M2" i="3"/>
  <c r="H2" i="3"/>
  <c r="M3" i="3"/>
  <c r="H3" i="3"/>
  <c r="M4" i="3"/>
  <c r="H4" i="3"/>
  <c r="M5" i="3"/>
  <c r="H5" i="3"/>
  <c r="M6" i="3"/>
  <c r="H6" i="3"/>
  <c r="M7" i="3"/>
  <c r="H7" i="3"/>
  <c r="M8" i="3"/>
  <c r="H8" i="3"/>
  <c r="M9" i="3"/>
  <c r="H9" i="3"/>
  <c r="M10" i="3"/>
  <c r="H10" i="3"/>
  <c r="H11" i="3"/>
  <c r="S11" i="3"/>
  <c r="Q3" i="3"/>
  <c r="Q5" i="3"/>
  <c r="Q7" i="3"/>
  <c r="Q8" i="3"/>
  <c r="Q9" i="3"/>
  <c r="Q10" i="3"/>
  <c r="Q11" i="3"/>
  <c r="I3" i="3"/>
  <c r="I5" i="3"/>
  <c r="I7" i="3"/>
  <c r="I8" i="3"/>
  <c r="I9" i="3"/>
  <c r="I10" i="3"/>
  <c r="I11" i="3"/>
  <c r="S10" i="3"/>
  <c r="S9" i="3"/>
  <c r="S8" i="3"/>
  <c r="S7" i="3"/>
  <c r="S6" i="3"/>
  <c r="S5" i="3"/>
  <c r="S4" i="3"/>
  <c r="S3" i="3"/>
  <c r="S2" i="3"/>
  <c r="S14" i="2"/>
  <c r="O2" i="2"/>
  <c r="P2" i="2"/>
  <c r="O3" i="2"/>
  <c r="P3" i="2"/>
  <c r="O4" i="2"/>
  <c r="P4" i="2"/>
  <c r="O5" i="2"/>
  <c r="P5" i="2"/>
  <c r="O6" i="2"/>
  <c r="P6" i="2"/>
  <c r="O7" i="2"/>
  <c r="P7" i="2"/>
  <c r="O8" i="2"/>
  <c r="P8" i="2"/>
  <c r="O9" i="2"/>
  <c r="P9" i="2"/>
  <c r="O10" i="2"/>
  <c r="P10" i="2"/>
  <c r="O11" i="2"/>
  <c r="P11" i="2"/>
  <c r="P12" i="2"/>
  <c r="M2" i="2"/>
  <c r="H2" i="2"/>
  <c r="M3" i="2"/>
  <c r="H3" i="2"/>
  <c r="M4" i="2"/>
  <c r="H4" i="2"/>
  <c r="M5" i="2"/>
  <c r="H5" i="2"/>
  <c r="M6" i="2"/>
  <c r="H6" i="2"/>
  <c r="M7" i="2"/>
  <c r="H7" i="2"/>
  <c r="M8" i="2"/>
  <c r="H8" i="2"/>
  <c r="M9" i="2"/>
  <c r="H9" i="2"/>
  <c r="M10" i="2"/>
  <c r="H10" i="2"/>
  <c r="M11" i="2"/>
  <c r="H11" i="2"/>
  <c r="H12" i="2"/>
  <c r="S12" i="2"/>
  <c r="Q3" i="2"/>
  <c r="Q6" i="2"/>
  <c r="Q8" i="2"/>
  <c r="Q9" i="2"/>
  <c r="Q10" i="2"/>
  <c r="Q11" i="2"/>
  <c r="Q12" i="2"/>
  <c r="I3" i="2"/>
  <c r="I6" i="2"/>
  <c r="I8" i="2"/>
  <c r="I9" i="2"/>
  <c r="I10" i="2"/>
  <c r="I11" i="2"/>
  <c r="I12" i="2"/>
  <c r="S11" i="2"/>
  <c r="S10" i="2"/>
  <c r="S9" i="2"/>
  <c r="S8" i="2"/>
  <c r="S7" i="2"/>
  <c r="S6" i="2"/>
  <c r="S5" i="2"/>
  <c r="S4" i="2"/>
  <c r="S3" i="2"/>
  <c r="S2" i="2"/>
  <c r="S3" i="1"/>
  <c r="S4" i="1"/>
  <c r="S5" i="1"/>
  <c r="S6" i="1"/>
  <c r="S7" i="1"/>
  <c r="S8" i="1"/>
  <c r="S9" i="1"/>
  <c r="S10" i="1"/>
  <c r="S11" i="1"/>
  <c r="H2" i="1"/>
  <c r="S2" i="1"/>
  <c r="S14" i="1"/>
  <c r="Q3" i="1"/>
  <c r="H12" i="1"/>
  <c r="I3" i="1"/>
  <c r="H3" i="1"/>
  <c r="M4" i="1"/>
  <c r="H4" i="1"/>
  <c r="Q5" i="1"/>
  <c r="I5" i="1"/>
  <c r="H5" i="1"/>
  <c r="Q7" i="1"/>
  <c r="I7" i="1"/>
  <c r="H6" i="1"/>
  <c r="Q9" i="1"/>
  <c r="H7" i="1"/>
  <c r="H8" i="1"/>
  <c r="I9" i="1"/>
  <c r="I10" i="1"/>
  <c r="H9" i="1"/>
  <c r="Q10" i="1"/>
  <c r="H10" i="1"/>
  <c r="Q11" i="1"/>
  <c r="I11" i="1"/>
  <c r="H11" i="1"/>
  <c r="I12" i="1"/>
</calcChain>
</file>

<file path=xl/sharedStrings.xml><?xml version="1.0" encoding="utf-8"?>
<sst xmlns="http://schemas.openxmlformats.org/spreadsheetml/2006/main" count="465" uniqueCount="196">
  <si>
    <t>Branche</t>
  </si>
  <si>
    <t>Unternehmen</t>
  </si>
  <si>
    <t>Branche Detail</t>
  </si>
  <si>
    <t>Anteil in %</t>
  </si>
  <si>
    <t>Gesundheit</t>
  </si>
  <si>
    <t>Dienstleister Klinikbetreiber</t>
  </si>
  <si>
    <t>Ramsay Health Care</t>
  </si>
  <si>
    <t>Australien</t>
  </si>
  <si>
    <t>Chemie Duft- und Geschmacksstoffe</t>
  </si>
  <si>
    <t>Symrise</t>
  </si>
  <si>
    <t>Europa</t>
  </si>
  <si>
    <t>Kontinent</t>
  </si>
  <si>
    <t>Land</t>
  </si>
  <si>
    <t>Währung</t>
  </si>
  <si>
    <t>AU$</t>
  </si>
  <si>
    <t>Deutschland</t>
  </si>
  <si>
    <t>€</t>
  </si>
  <si>
    <t>Konsum nicht zyklisch</t>
  </si>
  <si>
    <t>Drogerie Reinigung Hygiene industriell</t>
  </si>
  <si>
    <t>Ecolab</t>
  </si>
  <si>
    <t>Amerika</t>
  </si>
  <si>
    <t>USA</t>
  </si>
  <si>
    <t>US$</t>
  </si>
  <si>
    <t>Bekleidung Sport</t>
  </si>
  <si>
    <t>Nike</t>
  </si>
  <si>
    <t>Grundnahrungsmittel</t>
  </si>
  <si>
    <t>Industrie</t>
  </si>
  <si>
    <t xml:space="preserve">Zulieferer Verkehr </t>
  </si>
  <si>
    <t>Shimano</t>
  </si>
  <si>
    <t>Asien</t>
  </si>
  <si>
    <t>Japan</t>
  </si>
  <si>
    <t>Yen</t>
  </si>
  <si>
    <t>Zulieferer Verpackungen</t>
  </si>
  <si>
    <t>Bunzl</t>
  </si>
  <si>
    <t>England</t>
  </si>
  <si>
    <t>Pfund</t>
  </si>
  <si>
    <t>Tabak</t>
  </si>
  <si>
    <t>Altria</t>
  </si>
  <si>
    <t>Technologie</t>
  </si>
  <si>
    <t>IT-Denstleister</t>
  </si>
  <si>
    <t>CGI</t>
  </si>
  <si>
    <t>Kanada</t>
  </si>
  <si>
    <t>CA$</t>
  </si>
  <si>
    <t>Hardware Halbleiter</t>
  </si>
  <si>
    <t>Taiwan Semiconductor</t>
  </si>
  <si>
    <t>Taiwan</t>
  </si>
  <si>
    <t>Sonstige</t>
  </si>
  <si>
    <t>Dienstleister Outsourcing Inkasso</t>
  </si>
  <si>
    <t>Intrum Justitia</t>
  </si>
  <si>
    <t>Schweden</t>
  </si>
  <si>
    <t>SEK</t>
  </si>
  <si>
    <t>Trend</t>
  </si>
  <si>
    <t>200 T. unterschritten</t>
  </si>
  <si>
    <t>abwärts stark</t>
  </si>
  <si>
    <t xml:space="preserve">abwärts leicht </t>
  </si>
  <si>
    <t>Kurs €</t>
  </si>
  <si>
    <t>WKN</t>
  </si>
  <si>
    <t>A0ET3E GB</t>
  </si>
  <si>
    <t>874338 AU</t>
  </si>
  <si>
    <t>SYM999 DE</t>
  </si>
  <si>
    <t>abwärts mittel</t>
  </si>
  <si>
    <t>865682 JP</t>
  </si>
  <si>
    <t>912483 CA</t>
  </si>
  <si>
    <t>909800 TW</t>
  </si>
  <si>
    <t>ATH</t>
  </si>
  <si>
    <t>854545 US</t>
  </si>
  <si>
    <t>aufwärts leicht</t>
  </si>
  <si>
    <t>866993 US</t>
  </si>
  <si>
    <t>200417 US</t>
  </si>
  <si>
    <t>633824 SE</t>
  </si>
  <si>
    <t>Performance in €</t>
  </si>
  <si>
    <t>Kurs Heimat-währung</t>
  </si>
  <si>
    <t>MSCI World Index</t>
  </si>
  <si>
    <t>Menge</t>
  </si>
  <si>
    <t>Performance effektiv p.a.</t>
  </si>
  <si>
    <t>aufwärts mittel</t>
  </si>
  <si>
    <t>knapp unter ATH</t>
  </si>
  <si>
    <r>
      <t>Wert</t>
    </r>
    <r>
      <rPr>
        <sz val="12"/>
        <color theme="1"/>
        <rFont val="Calibri"/>
        <family val="2"/>
        <scheme val="minor"/>
      </rPr>
      <t xml:space="preserve"> 30.08.2017</t>
    </r>
  </si>
  <si>
    <r>
      <t>Wert</t>
    </r>
    <r>
      <rPr>
        <sz val="12"/>
        <color theme="1"/>
        <rFont val="Calibri"/>
        <family val="2"/>
        <scheme val="minor"/>
      </rPr>
      <t xml:space="preserve"> 04.10.2017</t>
    </r>
  </si>
  <si>
    <t>Medizintechnik Bedarfsartikel</t>
  </si>
  <si>
    <t>Coloplast</t>
  </si>
  <si>
    <t>A1KAGC DK</t>
  </si>
  <si>
    <t>Dänemark</t>
  </si>
  <si>
    <t>DKK</t>
  </si>
  <si>
    <t>Paul Hartmann</t>
  </si>
  <si>
    <t>747404 DE</t>
  </si>
  <si>
    <t xml:space="preserve">Zulieferer Sanitär </t>
  </si>
  <si>
    <t>Geberit</t>
  </si>
  <si>
    <t>A0MQWG CH</t>
  </si>
  <si>
    <t>Schweiz</t>
  </si>
  <si>
    <t>CHF</t>
  </si>
  <si>
    <t>200 T.</t>
  </si>
  <si>
    <t>Holding Immobilien Hotels Bau Einzelhandel</t>
  </si>
  <si>
    <t>Jardine Matheson</t>
  </si>
  <si>
    <t>869042 HK</t>
  </si>
  <si>
    <t>Hong Kong</t>
  </si>
  <si>
    <t xml:space="preserve">Zulieferer Verkehr Flugzeuge Komponenten </t>
  </si>
  <si>
    <t>TransDigM</t>
  </si>
  <si>
    <t>A0JEP3 US</t>
  </si>
  <si>
    <t>Handel Online Versand etc.</t>
  </si>
  <si>
    <t>Amazon</t>
  </si>
  <si>
    <t>906866 US</t>
  </si>
  <si>
    <t xml:space="preserve">Drogerie Reinigung Pflege </t>
  </si>
  <si>
    <t>Church &amp; Dwight</t>
  </si>
  <si>
    <t>864371 US</t>
  </si>
  <si>
    <t>Internet Suchmaschine Online Spiele Musikstreaming</t>
  </si>
  <si>
    <t>NetEase</t>
  </si>
  <si>
    <t>501822 CN</t>
  </si>
  <si>
    <t>China</t>
  </si>
  <si>
    <t>Dienstleister Catering Gebäudemanagement</t>
  </si>
  <si>
    <t>Sodexo</t>
  </si>
  <si>
    <t>870935 FR</t>
  </si>
  <si>
    <t>Frankreich</t>
  </si>
  <si>
    <t>Energie &amp; Rohstoffe</t>
  </si>
  <si>
    <t>Energieversorger Erdgas Strom erneuerbare Dienstleister Energieb.</t>
  </si>
  <si>
    <t>UGI</t>
  </si>
  <si>
    <t>887836 US</t>
  </si>
  <si>
    <t>Währungen</t>
  </si>
  <si>
    <t>Wert</t>
  </si>
  <si>
    <t>Biotechnologie Erforschung seltener Krankh.</t>
  </si>
  <si>
    <t>Alexion Pharmaceuticals</t>
  </si>
  <si>
    <t>899527 US</t>
  </si>
  <si>
    <t>Pharmazie Nahrungsergänzungsmittel</t>
  </si>
  <si>
    <t>Perrigo</t>
  </si>
  <si>
    <t>A1XAEY US</t>
  </si>
  <si>
    <t>Bekleidung Sport Freizeit Lifestyle</t>
  </si>
  <si>
    <t>Bekleidung Mode Handel</t>
  </si>
  <si>
    <t>Next</t>
  </si>
  <si>
    <t>779551 GB</t>
  </si>
  <si>
    <t>GB</t>
  </si>
  <si>
    <t>GBP</t>
  </si>
  <si>
    <t>Immobilien Vermietung Lagerr. für Waren Fahrzeuge</t>
  </si>
  <si>
    <t>Public Storage</t>
  </si>
  <si>
    <t>867609 US</t>
  </si>
  <si>
    <t>200 T. überschritten</t>
  </si>
  <si>
    <t xml:space="preserve">Dienstleister Beratung Risikobewertung </t>
  </si>
  <si>
    <t>Verisk Analytics</t>
  </si>
  <si>
    <t>A0YA2M US</t>
  </si>
  <si>
    <t>Verkehr Hersteller Feuerwehrfahrzeuge</t>
  </si>
  <si>
    <t>Rosenbauer</t>
  </si>
  <si>
    <t>892502 AT</t>
  </si>
  <si>
    <t>AT</t>
  </si>
  <si>
    <t>Elektro IT Technologie für öffentliche Verkehrsmittel</t>
  </si>
  <si>
    <t>Init</t>
  </si>
  <si>
    <t>575980 DE</t>
  </si>
  <si>
    <t>DE</t>
  </si>
  <si>
    <t>Basismetalle Kupfer</t>
  </si>
  <si>
    <t>Antofagasta</t>
  </si>
  <si>
    <t>867578 GB</t>
  </si>
  <si>
    <r>
      <rPr>
        <sz val="12"/>
        <color theme="1"/>
        <rFont val="Calibri"/>
        <family val="2"/>
        <scheme val="minor"/>
      </rPr>
      <t>ATH</t>
    </r>
  </si>
  <si>
    <t>Beginn Musterdepot</t>
  </si>
  <si>
    <t>Stand:</t>
  </si>
  <si>
    <r>
      <t>Rückgang vom ATH in %</t>
    </r>
    <r>
      <rPr>
        <sz val="12"/>
        <color theme="1"/>
        <rFont val="Calibri"/>
        <family val="2"/>
        <scheme val="minor"/>
      </rPr>
      <t xml:space="preserve"> beim Erwerb</t>
    </r>
  </si>
  <si>
    <t>Telekommunikation Satellitenbetreiber</t>
  </si>
  <si>
    <t>SES Global</t>
  </si>
  <si>
    <t>914993 LU</t>
  </si>
  <si>
    <t>LU</t>
  </si>
  <si>
    <t>Software Healthcare-Informationstechnologie</t>
  </si>
  <si>
    <t>Athenahealth</t>
  </si>
  <si>
    <t>A0MWXF US</t>
  </si>
  <si>
    <t>Gastronomie Fast Food Hähnchen Burger</t>
  </si>
  <si>
    <t>Buffalo Wild Wings</t>
  </si>
  <si>
    <t>590096 US</t>
  </si>
  <si>
    <t>Gastronomie Restaurant Catering</t>
  </si>
  <si>
    <t>DO &amp; CO</t>
  </si>
  <si>
    <t>915210 AT</t>
  </si>
  <si>
    <t xml:space="preserve">Dienstleister Beratung Werbeagentur </t>
  </si>
  <si>
    <t>WPP</t>
  </si>
  <si>
    <t>A1J2BZ GB</t>
  </si>
  <si>
    <t>Immobilien Einkaufszentren gewerbl. Nutzung</t>
  </si>
  <si>
    <t>Deutsche Euroshop</t>
  </si>
  <si>
    <t>748020 DE</t>
  </si>
  <si>
    <t>Pharmazie seltene Krankheiten</t>
  </si>
  <si>
    <t>Shire</t>
  </si>
  <si>
    <t>913170 US</t>
  </si>
  <si>
    <t>Bekleidung Sport Fitness</t>
  </si>
  <si>
    <t>Under Amour</t>
  </si>
  <si>
    <t>A0HL4V US</t>
  </si>
  <si>
    <t>GBP (Britisches Pfund)</t>
  </si>
  <si>
    <t>Wert 31.12.2017</t>
  </si>
  <si>
    <t>Smith &amp; Nephew</t>
  </si>
  <si>
    <t>502816 GB</t>
  </si>
  <si>
    <t>Biotechnologie Biopharmazeutika</t>
  </si>
  <si>
    <t>Celgene</t>
  </si>
  <si>
    <t>881244 US</t>
  </si>
  <si>
    <t>Basiskonsum</t>
  </si>
  <si>
    <t>Lebebsnittel Hersteller u.a. Fleischprodukte</t>
  </si>
  <si>
    <t>850875 US</t>
  </si>
  <si>
    <t>Hormel Foods</t>
  </si>
  <si>
    <t>Rohstoffe</t>
  </si>
  <si>
    <t>Agrar Agribusiness</t>
  </si>
  <si>
    <t>Archer Daniels Midland</t>
  </si>
  <si>
    <t>854161 US</t>
  </si>
  <si>
    <r>
      <t xml:space="preserve">Kurs </t>
    </r>
    <r>
      <rPr>
        <sz val="12"/>
        <color theme="1"/>
        <rFont val="Calibri"/>
        <family val="2"/>
        <scheme val="minor"/>
      </rPr>
      <t>31.01.2018</t>
    </r>
  </si>
  <si>
    <r>
      <t xml:space="preserve">Kurs in € </t>
    </r>
    <r>
      <rPr>
        <sz val="12"/>
        <color theme="1"/>
        <rFont val="Calibri"/>
        <family val="2"/>
        <scheme val="minor"/>
      </rPr>
      <t>31.01.2018</t>
    </r>
  </si>
  <si>
    <r>
      <t xml:space="preserve">Wert </t>
    </r>
    <r>
      <rPr>
        <sz val="12"/>
        <color theme="1"/>
        <rFont val="Calibri"/>
        <family val="2"/>
        <scheme val="minor"/>
      </rPr>
      <t>31.01.2018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</si>
</sst>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4">
    <xf numFmtId="0" fontId="0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/>
    <xf numFmtId="0" fontId="7" fillId="0" borderId="0" xfId="0" applyFont="1"/>
    <xf numFmtId="4" fontId="7" fillId="0" borderId="0" xfId="0" applyNumberFormat="1" applyFont="1"/>
    <xf numFmtId="10" fontId="7" fillId="0" borderId="0" xfId="0" applyNumberFormat="1" applyFont="1"/>
    <xf numFmtId="0" fontId="9" fillId="0" borderId="0" xfId="0" applyFont="1"/>
    <xf numFmtId="0" fontId="7" fillId="0" borderId="1" xfId="0" applyFont="1" applyBorder="1"/>
    <xf numFmtId="4" fontId="7" fillId="0" borderId="1" xfId="0" applyNumberFormat="1" applyFont="1" applyBorder="1"/>
    <xf numFmtId="10" fontId="7" fillId="0" borderId="1" xfId="0" applyNumberFormat="1" applyFont="1" applyBorder="1"/>
    <xf numFmtId="4" fontId="7" fillId="0" borderId="1" xfId="0" applyNumberFormat="1" applyFont="1" applyBorder="1" applyAlignment="1">
      <alignment wrapText="1"/>
    </xf>
    <xf numFmtId="10" fontId="7" fillId="0" borderId="1" xfId="0" applyNumberFormat="1" applyFont="1" applyBorder="1" applyAlignment="1">
      <alignment wrapText="1"/>
    </xf>
    <xf numFmtId="0" fontId="9" fillId="0" borderId="1" xfId="0" applyFont="1" applyBorder="1"/>
    <xf numFmtId="4" fontId="9" fillId="0" borderId="1" xfId="0" applyNumberFormat="1" applyFont="1" applyBorder="1"/>
    <xf numFmtId="10" fontId="9" fillId="0" borderId="1" xfId="0" applyNumberFormat="1" applyFont="1" applyBorder="1"/>
    <xf numFmtId="0" fontId="6" fillId="2" borderId="0" xfId="0" applyFont="1" applyFill="1"/>
    <xf numFmtId="0" fontId="7" fillId="2" borderId="0" xfId="0" applyFont="1" applyFill="1"/>
    <xf numFmtId="4" fontId="7" fillId="2" borderId="0" xfId="0" applyNumberFormat="1" applyFont="1" applyFill="1"/>
    <xf numFmtId="10" fontId="7" fillId="2" borderId="0" xfId="0" applyNumberFormat="1" applyFont="1" applyFill="1"/>
    <xf numFmtId="1" fontId="5" fillId="0" borderId="1" xfId="0" applyNumberFormat="1" applyFont="1" applyBorder="1" applyAlignment="1">
      <alignment wrapText="1"/>
    </xf>
    <xf numFmtId="1" fontId="7" fillId="0" borderId="1" xfId="0" applyNumberFormat="1" applyFont="1" applyBorder="1"/>
    <xf numFmtId="1" fontId="9" fillId="0" borderId="1" xfId="0" applyNumberFormat="1" applyFont="1" applyBorder="1"/>
    <xf numFmtId="1" fontId="7" fillId="2" borderId="0" xfId="0" applyNumberFormat="1" applyFont="1" applyFill="1"/>
    <xf numFmtId="1" fontId="7" fillId="0" borderId="0" xfId="0" applyNumberFormat="1" applyFont="1"/>
    <xf numFmtId="4" fontId="5" fillId="0" borderId="1" xfId="0" applyNumberFormat="1" applyFont="1" applyBorder="1"/>
    <xf numFmtId="10" fontId="5" fillId="0" borderId="1" xfId="0" applyNumberFormat="1" applyFont="1" applyBorder="1" applyAlignment="1">
      <alignment wrapText="1"/>
    </xf>
    <xf numFmtId="4" fontId="4" fillId="2" borderId="0" xfId="0" applyNumberFormat="1" applyFont="1" applyFill="1"/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/>
    <xf numFmtId="0" fontId="4" fillId="2" borderId="0" xfId="0" applyFont="1" applyFill="1"/>
    <xf numFmtId="4" fontId="3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 applyAlignment="1">
      <alignment wrapText="1"/>
    </xf>
    <xf numFmtId="10" fontId="2" fillId="0" borderId="1" xfId="0" applyNumberFormat="1" applyFont="1" applyBorder="1"/>
    <xf numFmtId="1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10" fontId="2" fillId="0" borderId="1" xfId="0" applyNumberFormat="1" applyFont="1" applyBorder="1" applyAlignment="1">
      <alignment wrapText="1"/>
    </xf>
    <xf numFmtId="0" fontId="2" fillId="0" borderId="0" xfId="0" applyFont="1"/>
    <xf numFmtId="1" fontId="2" fillId="0" borderId="1" xfId="0" applyNumberFormat="1" applyFont="1" applyBorder="1"/>
    <xf numFmtId="0" fontId="2" fillId="0" borderId="1" xfId="0" applyFont="1" applyFill="1" applyBorder="1"/>
    <xf numFmtId="0" fontId="13" fillId="0" borderId="1" xfId="0" applyFont="1" applyBorder="1"/>
    <xf numFmtId="0" fontId="0" fillId="0" borderId="1" xfId="0" applyFont="1" applyBorder="1" applyAlignment="1">
      <alignment wrapText="1"/>
    </xf>
    <xf numFmtId="0" fontId="2" fillId="2" borderId="0" xfId="0" applyFont="1" applyFill="1"/>
    <xf numFmtId="4" fontId="2" fillId="2" borderId="0" xfId="0" applyNumberFormat="1" applyFont="1" applyFill="1"/>
    <xf numFmtId="10" fontId="2" fillId="2" borderId="0" xfId="0" applyNumberFormat="1" applyFont="1" applyFill="1"/>
    <xf numFmtId="1" fontId="2" fillId="2" borderId="0" xfId="0" applyNumberFormat="1" applyFont="1" applyFill="1"/>
    <xf numFmtId="4" fontId="2" fillId="0" borderId="0" xfId="0" applyNumberFormat="1" applyFont="1"/>
    <xf numFmtId="10" fontId="2" fillId="0" borderId="0" xfId="0" applyNumberFormat="1" applyFont="1"/>
    <xf numFmtId="1" fontId="2" fillId="0" borderId="0" xfId="0" applyNumberFormat="1" applyFont="1"/>
    <xf numFmtId="0" fontId="0" fillId="0" borderId="1" xfId="0" applyFont="1" applyBorder="1"/>
    <xf numFmtId="15" fontId="2" fillId="0" borderId="0" xfId="0" applyNumberFormat="1" applyFont="1"/>
    <xf numFmtId="14" fontId="2" fillId="0" borderId="0" xfId="0" applyNumberFormat="1" applyFont="1"/>
    <xf numFmtId="4" fontId="1" fillId="0" borderId="1" xfId="0" applyNumberFormat="1" applyFont="1" applyBorder="1" applyAlignment="1">
      <alignment wrapText="1"/>
    </xf>
  </cellXfs>
  <cellStyles count="134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2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12" sqref="S12"/>
    </sheetView>
  </sheetViews>
  <sheetFormatPr baseColWidth="10" defaultRowHeight="15" x14ac:dyDescent="0"/>
  <cols>
    <col min="1" max="1" width="19" style="1" bestFit="1" customWidth="1"/>
    <col min="2" max="2" width="32.33203125" style="1" bestFit="1" customWidth="1"/>
    <col min="3" max="3" width="19.83203125" style="1" bestFit="1" customWidth="1"/>
    <col min="4" max="4" width="10.5" style="1" bestFit="1" customWidth="1"/>
    <col min="5" max="5" width="9.5" style="1" bestFit="1" customWidth="1"/>
    <col min="6" max="6" width="11.332031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18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3.1640625" style="2" bestFit="1" customWidth="1"/>
    <col min="19" max="19" width="11.83203125" style="3" customWidth="1"/>
    <col min="20" max="20" width="12.6640625" style="3" customWidth="1"/>
    <col min="21" max="16384" width="10.83203125" style="1"/>
  </cols>
  <sheetData>
    <row r="1" spans="1:20" ht="30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25" t="s">
        <v>77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50" t="s">
        <v>193</v>
      </c>
      <c r="O1" s="50" t="s">
        <v>194</v>
      </c>
      <c r="P1" s="50" t="s">
        <v>195</v>
      </c>
      <c r="Q1" s="7" t="s">
        <v>3</v>
      </c>
      <c r="R1" s="5" t="s">
        <v>51</v>
      </c>
      <c r="S1" s="9" t="s">
        <v>70</v>
      </c>
      <c r="T1" s="23" t="s">
        <v>74</v>
      </c>
    </row>
    <row r="2" spans="1:20">
      <c r="A2" s="5" t="s">
        <v>4</v>
      </c>
      <c r="B2" s="5" t="s">
        <v>5</v>
      </c>
      <c r="C2" s="5" t="s">
        <v>6</v>
      </c>
      <c r="D2" s="5" t="s">
        <v>58</v>
      </c>
      <c r="E2" s="5" t="s">
        <v>7</v>
      </c>
      <c r="F2" s="5" t="s">
        <v>7</v>
      </c>
      <c r="G2" s="5" t="s">
        <v>14</v>
      </c>
      <c r="H2" s="6">
        <f t="shared" ref="H2:H11" si="0">L2*M2</f>
        <v>999.02</v>
      </c>
      <c r="I2" s="7"/>
      <c r="J2" s="5" t="s">
        <v>52</v>
      </c>
      <c r="K2" s="6">
        <v>45.405000000000001</v>
      </c>
      <c r="L2" s="18">
        <v>22</v>
      </c>
      <c r="M2" s="6">
        <v>45.41</v>
      </c>
      <c r="N2" s="6">
        <v>44.384999999999998</v>
      </c>
      <c r="O2" s="6">
        <f>N2</f>
        <v>44.384999999999998</v>
      </c>
      <c r="P2" s="6">
        <f t="shared" ref="P2:P11" si="1">L2*O2</f>
        <v>976.46999999999991</v>
      </c>
      <c r="Q2" s="7"/>
      <c r="R2" s="33"/>
      <c r="S2" s="7">
        <f>(P2-H2)/H2</f>
        <v>-2.2572120678264768E-2</v>
      </c>
      <c r="T2" s="7"/>
    </row>
    <row r="3" spans="1:20">
      <c r="A3" s="5" t="s">
        <v>4</v>
      </c>
      <c r="B3" s="5" t="s">
        <v>8</v>
      </c>
      <c r="C3" s="5" t="s">
        <v>9</v>
      </c>
      <c r="D3" s="5" t="s">
        <v>59</v>
      </c>
      <c r="E3" s="5" t="s">
        <v>10</v>
      </c>
      <c r="F3" s="5" t="s">
        <v>15</v>
      </c>
      <c r="G3" s="5" t="s">
        <v>16</v>
      </c>
      <c r="H3" s="6">
        <f t="shared" si="0"/>
        <v>985.6</v>
      </c>
      <c r="I3" s="7">
        <f>(H2+H3)/H12</f>
        <v>0.19926243721027365</v>
      </c>
      <c r="J3" s="5" t="s">
        <v>60</v>
      </c>
      <c r="K3" s="6">
        <v>61.6</v>
      </c>
      <c r="L3" s="18">
        <v>16</v>
      </c>
      <c r="M3" s="6">
        <v>61.6</v>
      </c>
      <c r="N3" s="6">
        <v>66.959999999999994</v>
      </c>
      <c r="O3" s="6">
        <f>N3</f>
        <v>66.959999999999994</v>
      </c>
      <c r="P3" s="6">
        <f t="shared" si="1"/>
        <v>1071.3599999999999</v>
      </c>
      <c r="Q3" s="7">
        <f>(P2+P3)/P12</f>
        <v>0.19164342984425789</v>
      </c>
      <c r="R3" s="26"/>
      <c r="S3" s="7">
        <f t="shared" ref="S3:S12" si="2">(P3-H3)/H3</f>
        <v>8.7012987012986889E-2</v>
      </c>
      <c r="T3" s="7"/>
    </row>
    <row r="4" spans="1:20">
      <c r="A4" s="5" t="s">
        <v>26</v>
      </c>
      <c r="B4" s="5" t="s">
        <v>27</v>
      </c>
      <c r="C4" s="5" t="s">
        <v>28</v>
      </c>
      <c r="D4" s="5" t="s">
        <v>61</v>
      </c>
      <c r="E4" s="5" t="s">
        <v>29</v>
      </c>
      <c r="F4" s="5" t="s">
        <v>30</v>
      </c>
      <c r="G4" s="5" t="s">
        <v>31</v>
      </c>
      <c r="H4" s="6">
        <f t="shared" si="0"/>
        <v>1019.43</v>
      </c>
      <c r="I4" s="7"/>
      <c r="J4" s="5" t="s">
        <v>53</v>
      </c>
      <c r="K4" s="6">
        <v>113.27</v>
      </c>
      <c r="L4" s="18">
        <v>9</v>
      </c>
      <c r="M4" s="6">
        <f>K4</f>
        <v>113.27</v>
      </c>
      <c r="N4" s="6">
        <v>116.79</v>
      </c>
      <c r="O4" s="6">
        <f>N4</f>
        <v>116.79</v>
      </c>
      <c r="P4" s="6">
        <f t="shared" si="1"/>
        <v>1051.1100000000001</v>
      </c>
      <c r="Q4" s="7"/>
      <c r="R4" s="28"/>
      <c r="S4" s="7">
        <f t="shared" si="2"/>
        <v>3.1076189635384655E-2</v>
      </c>
      <c r="T4" s="7"/>
    </row>
    <row r="5" spans="1:20">
      <c r="A5" s="5" t="s">
        <v>26</v>
      </c>
      <c r="B5" s="5" t="s">
        <v>32</v>
      </c>
      <c r="C5" s="5" t="s">
        <v>33</v>
      </c>
      <c r="D5" s="5" t="s">
        <v>57</v>
      </c>
      <c r="E5" s="5" t="s">
        <v>10</v>
      </c>
      <c r="F5" s="5" t="s">
        <v>34</v>
      </c>
      <c r="G5" s="5" t="s">
        <v>35</v>
      </c>
      <c r="H5" s="6">
        <f t="shared" si="0"/>
        <v>993.6</v>
      </c>
      <c r="I5" s="7">
        <f>(H4+H5)/H12</f>
        <v>0.20211489553536557</v>
      </c>
      <c r="J5" s="5" t="s">
        <v>54</v>
      </c>
      <c r="K5" s="6">
        <v>23.08</v>
      </c>
      <c r="L5" s="18">
        <v>40</v>
      </c>
      <c r="M5" s="6">
        <v>24.84</v>
      </c>
      <c r="N5" s="6">
        <v>20.66</v>
      </c>
      <c r="O5" s="6">
        <f>N5*B19</f>
        <v>23.564796000000001</v>
      </c>
      <c r="P5" s="6">
        <f t="shared" si="1"/>
        <v>942.59184000000005</v>
      </c>
      <c r="Q5" s="7">
        <f>(P4+P5)/P12</f>
        <v>0.1865779184328816</v>
      </c>
      <c r="R5" s="33"/>
      <c r="S5" s="7">
        <f t="shared" si="2"/>
        <v>-5.1336714975845382E-2</v>
      </c>
      <c r="T5" s="7"/>
    </row>
    <row r="6" spans="1:20">
      <c r="A6" s="5" t="s">
        <v>38</v>
      </c>
      <c r="B6" s="5" t="s">
        <v>39</v>
      </c>
      <c r="C6" s="5" t="s">
        <v>40</v>
      </c>
      <c r="D6" s="5" t="s">
        <v>62</v>
      </c>
      <c r="E6" s="5" t="s">
        <v>20</v>
      </c>
      <c r="F6" s="5" t="s">
        <v>41</v>
      </c>
      <c r="G6" s="5" t="s">
        <v>42</v>
      </c>
      <c r="H6" s="6">
        <f t="shared" si="0"/>
        <v>1006.08</v>
      </c>
      <c r="I6" s="7"/>
      <c r="J6" s="5" t="s">
        <v>54</v>
      </c>
      <c r="K6" s="6">
        <v>63.04</v>
      </c>
      <c r="L6" s="18">
        <v>24</v>
      </c>
      <c r="M6" s="6">
        <v>41.92</v>
      </c>
      <c r="N6" s="6">
        <v>71.900000000000006</v>
      </c>
      <c r="O6" s="6">
        <f>N6*B21</f>
        <v>46.878800000000005</v>
      </c>
      <c r="P6" s="6">
        <f t="shared" si="1"/>
        <v>1125.0912000000001</v>
      </c>
      <c r="Q6" s="7"/>
      <c r="R6" s="22"/>
      <c r="S6" s="7">
        <f t="shared" si="2"/>
        <v>0.11829198473282446</v>
      </c>
      <c r="T6" s="7"/>
    </row>
    <row r="7" spans="1:20">
      <c r="A7" s="5" t="s">
        <v>38</v>
      </c>
      <c r="B7" s="5" t="s">
        <v>43</v>
      </c>
      <c r="C7" s="5" t="s">
        <v>44</v>
      </c>
      <c r="D7" s="5" t="s">
        <v>63</v>
      </c>
      <c r="E7" s="5" t="s">
        <v>29</v>
      </c>
      <c r="F7" s="5" t="s">
        <v>45</v>
      </c>
      <c r="G7" s="5" t="s">
        <v>22</v>
      </c>
      <c r="H7" s="6">
        <f t="shared" si="0"/>
        <v>992.32</v>
      </c>
      <c r="I7" s="7">
        <f>(H6+H7)/H12</f>
        <v>0.20064599496176141</v>
      </c>
      <c r="J7" s="5" t="s">
        <v>64</v>
      </c>
      <c r="K7" s="6">
        <v>36.92</v>
      </c>
      <c r="L7" s="18">
        <v>32</v>
      </c>
      <c r="M7" s="6">
        <v>31.01</v>
      </c>
      <c r="N7" s="6">
        <v>45.81</v>
      </c>
      <c r="O7" s="6">
        <f>N7*B18</f>
        <v>36.702972000000003</v>
      </c>
      <c r="P7" s="6">
        <f t="shared" si="1"/>
        <v>1174.4951040000001</v>
      </c>
      <c r="Q7" s="7">
        <f>(P6+P7)/P12</f>
        <v>0.21520370661697522</v>
      </c>
      <c r="R7" s="28"/>
      <c r="S7" s="7">
        <f t="shared" si="2"/>
        <v>0.18358503708481139</v>
      </c>
      <c r="T7" s="7"/>
    </row>
    <row r="8" spans="1:20">
      <c r="A8" s="5" t="s">
        <v>17</v>
      </c>
      <c r="B8" s="5" t="s">
        <v>18</v>
      </c>
      <c r="C8" s="5" t="s">
        <v>19</v>
      </c>
      <c r="D8" s="5" t="s">
        <v>65</v>
      </c>
      <c r="E8" s="5" t="s">
        <v>20</v>
      </c>
      <c r="F8" s="5" t="s">
        <v>21</v>
      </c>
      <c r="G8" s="5" t="s">
        <v>22</v>
      </c>
      <c r="H8" s="6">
        <f t="shared" si="0"/>
        <v>989.01</v>
      </c>
      <c r="I8" s="7"/>
      <c r="J8" s="5" t="s">
        <v>66</v>
      </c>
      <c r="K8" s="6">
        <v>130.87</v>
      </c>
      <c r="L8" s="18">
        <v>9</v>
      </c>
      <c r="M8" s="6">
        <v>109.89</v>
      </c>
      <c r="N8" s="6">
        <v>138.63999999999999</v>
      </c>
      <c r="O8" s="6">
        <f>N8*B18</f>
        <v>111.078368</v>
      </c>
      <c r="P8" s="6">
        <f t="shared" si="1"/>
        <v>999.70531199999994</v>
      </c>
      <c r="Q8" s="7"/>
      <c r="R8" s="33"/>
      <c r="S8" s="7">
        <f t="shared" si="2"/>
        <v>1.0814159614159559E-2</v>
      </c>
      <c r="T8" s="7"/>
    </row>
    <row r="9" spans="1:20">
      <c r="A9" s="5" t="s">
        <v>17</v>
      </c>
      <c r="B9" s="5" t="s">
        <v>23</v>
      </c>
      <c r="C9" s="5" t="s">
        <v>24</v>
      </c>
      <c r="D9" s="5" t="s">
        <v>67</v>
      </c>
      <c r="E9" s="5" t="s">
        <v>20</v>
      </c>
      <c r="F9" s="5" t="s">
        <v>21</v>
      </c>
      <c r="G9" s="5" t="s">
        <v>22</v>
      </c>
      <c r="H9" s="6">
        <f t="shared" si="0"/>
        <v>1016.3699999999999</v>
      </c>
      <c r="I9" s="7">
        <f>(H8+H9)/H12</f>
        <v>0.20134681013631758</v>
      </c>
      <c r="J9" s="5" t="s">
        <v>53</v>
      </c>
      <c r="K9" s="6">
        <v>52.73</v>
      </c>
      <c r="L9" s="18">
        <v>23</v>
      </c>
      <c r="M9" s="6">
        <v>44.19</v>
      </c>
      <c r="N9" s="6">
        <v>67.959999999999994</v>
      </c>
      <c r="O9" s="6">
        <f>N9*B18</f>
        <v>54.449551999999997</v>
      </c>
      <c r="P9" s="6">
        <f t="shared" si="1"/>
        <v>1252.339696</v>
      </c>
      <c r="Q9" s="7">
        <f>(P8+P9)/P12</f>
        <v>0.21075461805753368</v>
      </c>
      <c r="R9" s="33"/>
      <c r="S9" s="7">
        <f t="shared" si="2"/>
        <v>0.23216908802896596</v>
      </c>
      <c r="T9" s="7"/>
    </row>
    <row r="10" spans="1:20">
      <c r="A10" s="5" t="s">
        <v>25</v>
      </c>
      <c r="B10" s="5" t="s">
        <v>36</v>
      </c>
      <c r="C10" s="5" t="s">
        <v>37</v>
      </c>
      <c r="D10" s="5" t="s">
        <v>68</v>
      </c>
      <c r="E10" s="5" t="s">
        <v>20</v>
      </c>
      <c r="F10" s="5" t="s">
        <v>21</v>
      </c>
      <c r="G10" s="5" t="s">
        <v>22</v>
      </c>
      <c r="H10" s="6">
        <f t="shared" si="0"/>
        <v>966.06000000000006</v>
      </c>
      <c r="I10" s="7">
        <f>H10/H12</f>
        <v>9.6995631451540845E-2</v>
      </c>
      <c r="J10" s="5" t="s">
        <v>53</v>
      </c>
      <c r="K10" s="6">
        <v>63.94</v>
      </c>
      <c r="L10" s="18">
        <v>18</v>
      </c>
      <c r="M10" s="6">
        <v>53.67</v>
      </c>
      <c r="N10" s="6">
        <v>69.760000000000005</v>
      </c>
      <c r="O10" s="6">
        <f>N10*B18</f>
        <v>55.891712000000005</v>
      </c>
      <c r="P10" s="6">
        <f t="shared" si="1"/>
        <v>1006.0508160000001</v>
      </c>
      <c r="Q10" s="7">
        <f>P10/P12</f>
        <v>9.4149919170953847E-2</v>
      </c>
      <c r="R10" s="28"/>
      <c r="S10" s="7">
        <f t="shared" si="2"/>
        <v>4.1395789081423509E-2</v>
      </c>
      <c r="T10" s="7"/>
    </row>
    <row r="11" spans="1:20">
      <c r="A11" s="5" t="s">
        <v>46</v>
      </c>
      <c r="B11" s="5" t="s">
        <v>47</v>
      </c>
      <c r="C11" s="5" t="s">
        <v>48</v>
      </c>
      <c r="D11" s="5" t="s">
        <v>69</v>
      </c>
      <c r="E11" s="5" t="s">
        <v>10</v>
      </c>
      <c r="F11" s="5" t="s">
        <v>49</v>
      </c>
      <c r="G11" s="5" t="s">
        <v>50</v>
      </c>
      <c r="H11" s="6">
        <f t="shared" si="0"/>
        <v>992.34</v>
      </c>
      <c r="I11" s="7">
        <f>H11/H12</f>
        <v>9.963423070474095E-2</v>
      </c>
      <c r="J11" s="5" t="s">
        <v>53</v>
      </c>
      <c r="K11" s="6">
        <v>256.14999999999998</v>
      </c>
      <c r="L11" s="18">
        <v>37</v>
      </c>
      <c r="M11" s="6">
        <v>26.82</v>
      </c>
      <c r="N11" s="6">
        <v>288.14999999999998</v>
      </c>
      <c r="O11" s="6">
        <f>N11*B22</f>
        <v>29.362485</v>
      </c>
      <c r="P11" s="6">
        <f t="shared" si="1"/>
        <v>1086.4119450000001</v>
      </c>
      <c r="Q11" s="7">
        <f>P11/P12</f>
        <v>0.10167040787739767</v>
      </c>
      <c r="R11" s="33"/>
      <c r="S11" s="7">
        <f t="shared" si="2"/>
        <v>9.4798098434004496E-2</v>
      </c>
      <c r="T11" s="7"/>
    </row>
    <row r="12" spans="1:20" s="4" customFormat="1">
      <c r="A12" s="10"/>
      <c r="B12" s="10"/>
      <c r="C12" s="10"/>
      <c r="D12" s="10"/>
      <c r="E12" s="10"/>
      <c r="F12" s="10"/>
      <c r="G12" s="10"/>
      <c r="H12" s="11">
        <f>SUM(H2:H11)</f>
        <v>9959.83</v>
      </c>
      <c r="I12" s="12">
        <f>SUM(I2:I11)</f>
        <v>1</v>
      </c>
      <c r="J12" s="10"/>
      <c r="K12" s="11"/>
      <c r="L12" s="19"/>
      <c r="M12" s="11"/>
      <c r="N12" s="11"/>
      <c r="O12" s="11"/>
      <c r="P12" s="11">
        <f>SUM(P2:P11)</f>
        <v>10685.625913000002</v>
      </c>
      <c r="Q12" s="12"/>
      <c r="R12" s="11"/>
      <c r="S12" s="12">
        <f t="shared" si="2"/>
        <v>7.2872319407058322E-2</v>
      </c>
      <c r="T12" s="12"/>
    </row>
    <row r="14" spans="1:20">
      <c r="A14" s="13" t="s">
        <v>72</v>
      </c>
      <c r="B14" s="14"/>
      <c r="C14" s="14"/>
      <c r="D14" s="14"/>
      <c r="E14" s="14"/>
      <c r="F14" s="14"/>
      <c r="G14" s="14"/>
      <c r="H14" s="15"/>
      <c r="I14" s="16"/>
      <c r="J14" s="27" t="s">
        <v>76</v>
      </c>
      <c r="K14" s="15">
        <v>1947.53</v>
      </c>
      <c r="L14" s="20"/>
      <c r="M14" s="15"/>
      <c r="N14" s="15">
        <v>2213.23</v>
      </c>
      <c r="O14" s="15"/>
      <c r="P14" s="15"/>
      <c r="Q14" s="16"/>
      <c r="R14" s="24" t="s">
        <v>64</v>
      </c>
      <c r="S14" s="16">
        <f>(N14-K14)/K14</f>
        <v>0.13642922060250678</v>
      </c>
      <c r="T14" s="16"/>
    </row>
    <row r="17" spans="1:2">
      <c r="A17" s="35" t="s">
        <v>117</v>
      </c>
      <c r="B17" s="35"/>
    </row>
    <row r="18" spans="1:2">
      <c r="A18" s="35" t="s">
        <v>22</v>
      </c>
      <c r="B18" s="35">
        <v>0.80120000000000002</v>
      </c>
    </row>
    <row r="19" spans="1:2">
      <c r="A19" s="35" t="s">
        <v>178</v>
      </c>
      <c r="B19" s="1">
        <v>1.1406000000000001</v>
      </c>
    </row>
    <row r="20" spans="1:2">
      <c r="A20" s="35" t="s">
        <v>31</v>
      </c>
      <c r="B20" s="35">
        <v>7.3000000000000001E-3</v>
      </c>
    </row>
    <row r="21" spans="1:2">
      <c r="A21" s="35" t="s">
        <v>42</v>
      </c>
      <c r="B21" s="1">
        <v>0.65200000000000002</v>
      </c>
    </row>
    <row r="22" spans="1:2">
      <c r="A22" s="35" t="s">
        <v>50</v>
      </c>
      <c r="B22" s="35">
        <v>0.1019</v>
      </c>
    </row>
  </sheetData>
  <phoneticPr fontId="12" type="noConversion"/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9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2" sqref="R2:R11"/>
    </sheetView>
  </sheetViews>
  <sheetFormatPr baseColWidth="10" defaultRowHeight="15" x14ac:dyDescent="0"/>
  <cols>
    <col min="1" max="1" width="19" style="35" bestFit="1" customWidth="1"/>
    <col min="2" max="2" width="37.5" style="35" customWidth="1"/>
    <col min="3" max="3" width="19.83203125" style="35" bestFit="1" customWidth="1"/>
    <col min="4" max="4" width="12.33203125" style="35" bestFit="1" customWidth="1"/>
    <col min="5" max="5" width="9.5" style="35" bestFit="1" customWidth="1"/>
    <col min="6" max="6" width="11.33203125" style="35" bestFit="1" customWidth="1"/>
    <col min="7" max="7" width="8.83203125" style="35" bestFit="1" customWidth="1"/>
    <col min="8" max="8" width="10.33203125" style="44" customWidth="1"/>
    <col min="9" max="9" width="9.83203125" style="45" bestFit="1" customWidth="1"/>
    <col min="10" max="10" width="18.33203125" style="35" bestFit="1" customWidth="1"/>
    <col min="11" max="11" width="11.1640625" style="44" customWidth="1"/>
    <col min="12" max="12" width="7" style="46" bestFit="1" customWidth="1"/>
    <col min="13" max="13" width="8.33203125" style="44" bestFit="1" customWidth="1"/>
    <col min="14" max="16" width="10.5" style="44" customWidth="1"/>
    <col min="17" max="17" width="10.5" style="45" customWidth="1"/>
    <col min="18" max="18" width="18.33203125" style="44" bestFit="1" customWidth="1"/>
    <col min="19" max="19" width="11.83203125" style="45" customWidth="1"/>
    <col min="20" max="20" width="12.6640625" style="45" customWidth="1"/>
    <col min="21" max="16384" width="10.83203125" style="35"/>
  </cols>
  <sheetData>
    <row r="1" spans="1:20" ht="30">
      <c r="A1" s="29" t="s">
        <v>0</v>
      </c>
      <c r="B1" s="29" t="s">
        <v>2</v>
      </c>
      <c r="C1" s="29" t="s">
        <v>1</v>
      </c>
      <c r="D1" s="29" t="s">
        <v>56</v>
      </c>
      <c r="E1" s="29" t="s">
        <v>11</v>
      </c>
      <c r="F1" s="29" t="s">
        <v>12</v>
      </c>
      <c r="G1" s="29" t="s">
        <v>13</v>
      </c>
      <c r="H1" s="30" t="s">
        <v>78</v>
      </c>
      <c r="I1" s="31" t="s">
        <v>3</v>
      </c>
      <c r="J1" s="29" t="s">
        <v>51</v>
      </c>
      <c r="K1" s="30" t="s">
        <v>71</v>
      </c>
      <c r="L1" s="32" t="s">
        <v>73</v>
      </c>
      <c r="M1" s="33" t="s">
        <v>55</v>
      </c>
      <c r="N1" s="50" t="s">
        <v>193</v>
      </c>
      <c r="O1" s="50" t="s">
        <v>194</v>
      </c>
      <c r="P1" s="50" t="s">
        <v>195</v>
      </c>
      <c r="Q1" s="31" t="s">
        <v>3</v>
      </c>
      <c r="R1" s="29" t="s">
        <v>51</v>
      </c>
      <c r="S1" s="34" t="s">
        <v>70</v>
      </c>
      <c r="T1" s="34" t="s">
        <v>74</v>
      </c>
    </row>
    <row r="2" spans="1:20">
      <c r="A2" s="29" t="s">
        <v>4</v>
      </c>
      <c r="B2" s="29" t="s">
        <v>79</v>
      </c>
      <c r="C2" s="29" t="s">
        <v>80</v>
      </c>
      <c r="D2" s="29" t="s">
        <v>81</v>
      </c>
      <c r="E2" s="29" t="s">
        <v>10</v>
      </c>
      <c r="F2" s="29" t="s">
        <v>82</v>
      </c>
      <c r="G2" s="29" t="s">
        <v>83</v>
      </c>
      <c r="H2" s="33">
        <f t="shared" ref="H2:H11" si="0">L2*M2</f>
        <v>1011.2641000000001</v>
      </c>
      <c r="I2" s="31"/>
      <c r="J2" s="29" t="s">
        <v>52</v>
      </c>
      <c r="K2" s="33">
        <v>538.25</v>
      </c>
      <c r="L2" s="36">
        <v>14</v>
      </c>
      <c r="M2" s="33">
        <f>K2*0.1342</f>
        <v>72.233150000000009</v>
      </c>
      <c r="N2" s="33">
        <v>511.6</v>
      </c>
      <c r="O2" s="33">
        <f>N2*B19</f>
        <v>68.656720000000007</v>
      </c>
      <c r="P2" s="33">
        <f t="shared" ref="P2:P11" si="1">L2*O2</f>
        <v>961.1940800000001</v>
      </c>
      <c r="Q2" s="31"/>
      <c r="R2" s="29"/>
      <c r="S2" s="31">
        <f t="shared" ref="S2:S12" si="2">(P2-H2)/H2</f>
        <v>-4.9512308406874123E-2</v>
      </c>
      <c r="T2" s="31"/>
    </row>
    <row r="3" spans="1:20">
      <c r="A3" s="29" t="s">
        <v>4</v>
      </c>
      <c r="B3" s="29" t="s">
        <v>79</v>
      </c>
      <c r="C3" s="37" t="s">
        <v>84</v>
      </c>
      <c r="D3" s="29" t="s">
        <v>85</v>
      </c>
      <c r="E3" s="29" t="s">
        <v>10</v>
      </c>
      <c r="F3" s="29" t="s">
        <v>15</v>
      </c>
      <c r="G3" s="29" t="s">
        <v>16</v>
      </c>
      <c r="H3" s="33">
        <f t="shared" si="0"/>
        <v>833.00199999999995</v>
      </c>
      <c r="I3" s="31">
        <f>(H2+H3)/H12</f>
        <v>0.18956946133798738</v>
      </c>
      <c r="J3" s="29" t="s">
        <v>54</v>
      </c>
      <c r="K3" s="33">
        <v>416.50099999999998</v>
      </c>
      <c r="L3" s="36">
        <v>2</v>
      </c>
      <c r="M3" s="33">
        <f>K3</f>
        <v>416.50099999999998</v>
      </c>
      <c r="N3" s="33">
        <v>386</v>
      </c>
      <c r="O3" s="33">
        <f>N3</f>
        <v>386</v>
      </c>
      <c r="P3" s="33">
        <f t="shared" si="1"/>
        <v>772</v>
      </c>
      <c r="Q3" s="31">
        <f>(P2+P3)/P12</f>
        <v>0.1751543961463434</v>
      </c>
      <c r="R3" s="33"/>
      <c r="S3" s="31">
        <f t="shared" si="2"/>
        <v>-7.3231516851099951E-2</v>
      </c>
      <c r="T3" s="31"/>
    </row>
    <row r="4" spans="1:20">
      <c r="A4" s="29" t="s">
        <v>26</v>
      </c>
      <c r="B4" s="29" t="s">
        <v>86</v>
      </c>
      <c r="C4" s="37" t="s">
        <v>87</v>
      </c>
      <c r="D4" s="29" t="s">
        <v>88</v>
      </c>
      <c r="E4" s="29" t="s">
        <v>10</v>
      </c>
      <c r="F4" s="29" t="s">
        <v>89</v>
      </c>
      <c r="G4" s="29" t="s">
        <v>90</v>
      </c>
      <c r="H4" s="33">
        <f t="shared" si="0"/>
        <v>1204.6383600000001</v>
      </c>
      <c r="I4" s="31"/>
      <c r="J4" s="29" t="s">
        <v>91</v>
      </c>
      <c r="K4" s="33">
        <v>460.7</v>
      </c>
      <c r="L4" s="36">
        <v>3</v>
      </c>
      <c r="M4" s="33">
        <f>K4*0.8716</f>
        <v>401.54612000000003</v>
      </c>
      <c r="N4" s="33">
        <v>439.5</v>
      </c>
      <c r="O4" s="33">
        <f>N4*B18</f>
        <v>378.80504999999999</v>
      </c>
      <c r="P4" s="33">
        <f t="shared" si="1"/>
        <v>1136.41515</v>
      </c>
      <c r="Q4" s="31"/>
      <c r="R4" s="33"/>
      <c r="S4" s="31">
        <f t="shared" si="2"/>
        <v>-5.6633768494637762E-2</v>
      </c>
      <c r="T4" s="31"/>
    </row>
    <row r="5" spans="1:20">
      <c r="A5" s="29" t="s">
        <v>26</v>
      </c>
      <c r="B5" s="38" t="s">
        <v>92</v>
      </c>
      <c r="C5" s="37" t="s">
        <v>93</v>
      </c>
      <c r="D5" s="29" t="s">
        <v>94</v>
      </c>
      <c r="E5" s="29" t="s">
        <v>29</v>
      </c>
      <c r="F5" s="29" t="s">
        <v>95</v>
      </c>
      <c r="G5" s="29" t="s">
        <v>16</v>
      </c>
      <c r="H5" s="33">
        <f t="shared" si="0"/>
        <v>972.774</v>
      </c>
      <c r="I5" s="31"/>
      <c r="J5" s="29" t="s">
        <v>66</v>
      </c>
      <c r="K5" s="33">
        <v>54.042999999999999</v>
      </c>
      <c r="L5" s="36">
        <v>18</v>
      </c>
      <c r="M5" s="33">
        <f>K5</f>
        <v>54.042999999999999</v>
      </c>
      <c r="N5" s="33">
        <v>50.88</v>
      </c>
      <c r="O5" s="33">
        <f>N5</f>
        <v>50.88</v>
      </c>
      <c r="P5" s="33">
        <f t="shared" si="1"/>
        <v>915.84</v>
      </c>
      <c r="Q5" s="31"/>
      <c r="R5" s="33"/>
      <c r="S5" s="31">
        <f t="shared" si="2"/>
        <v>-5.8527468867383345E-2</v>
      </c>
      <c r="T5" s="31"/>
    </row>
    <row r="6" spans="1:20">
      <c r="A6" s="29" t="s">
        <v>26</v>
      </c>
      <c r="B6" s="38" t="s">
        <v>96</v>
      </c>
      <c r="C6" s="37" t="s">
        <v>97</v>
      </c>
      <c r="D6" s="29" t="s">
        <v>98</v>
      </c>
      <c r="E6" s="29" t="s">
        <v>20</v>
      </c>
      <c r="F6" s="29" t="s">
        <v>21</v>
      </c>
      <c r="G6" s="29" t="s">
        <v>22</v>
      </c>
      <c r="H6" s="33">
        <f t="shared" si="0"/>
        <v>893.77344000000016</v>
      </c>
      <c r="I6" s="31">
        <f>(H4+H5+H6)/H12</f>
        <v>0.3156827736381837</v>
      </c>
      <c r="J6" s="29" t="s">
        <v>66</v>
      </c>
      <c r="K6" s="33">
        <v>262.72000000000003</v>
      </c>
      <c r="L6" s="36">
        <v>4</v>
      </c>
      <c r="M6" s="33">
        <f>K6*0.8505</f>
        <v>223.44336000000004</v>
      </c>
      <c r="N6" s="33">
        <v>317.27999999999997</v>
      </c>
      <c r="O6" s="33">
        <f>N6*B17</f>
        <v>254.204736</v>
      </c>
      <c r="P6" s="33">
        <f t="shared" si="1"/>
        <v>1016.818944</v>
      </c>
      <c r="Q6" s="31">
        <f>(P4+P5+P6)/P12</f>
        <v>0.31015673655137105</v>
      </c>
      <c r="R6" s="33"/>
      <c r="S6" s="31">
        <f t="shared" si="2"/>
        <v>0.13766968058482448</v>
      </c>
      <c r="T6" s="31"/>
    </row>
    <row r="7" spans="1:20">
      <c r="A7" s="29" t="s">
        <v>17</v>
      </c>
      <c r="B7" s="29" t="s">
        <v>99</v>
      </c>
      <c r="C7" s="37" t="s">
        <v>100</v>
      </c>
      <c r="D7" s="29" t="s">
        <v>101</v>
      </c>
      <c r="E7" s="29" t="s">
        <v>20</v>
      </c>
      <c r="F7" s="29" t="s">
        <v>21</v>
      </c>
      <c r="G7" s="29" t="s">
        <v>22</v>
      </c>
      <c r="H7" s="33">
        <f t="shared" si="0"/>
        <v>821.75310000000002</v>
      </c>
      <c r="I7" s="31"/>
      <c r="J7" s="29" t="s">
        <v>75</v>
      </c>
      <c r="K7" s="33">
        <v>966.2</v>
      </c>
      <c r="L7" s="36">
        <v>1</v>
      </c>
      <c r="M7" s="33">
        <f>K7*0.8505</f>
        <v>821.75310000000002</v>
      </c>
      <c r="N7" s="33">
        <v>1435.68</v>
      </c>
      <c r="O7" s="33">
        <f>N7*B17</f>
        <v>1150.2668160000001</v>
      </c>
      <c r="P7" s="33">
        <f t="shared" si="1"/>
        <v>1150.2668160000001</v>
      </c>
      <c r="Q7" s="31"/>
      <c r="R7" s="33"/>
      <c r="S7" s="31">
        <f t="shared" si="2"/>
        <v>0.39977180006987506</v>
      </c>
      <c r="T7" s="31"/>
    </row>
    <row r="8" spans="1:20">
      <c r="A8" s="29" t="s">
        <v>17</v>
      </c>
      <c r="B8" s="29" t="s">
        <v>102</v>
      </c>
      <c r="C8" s="37" t="s">
        <v>103</v>
      </c>
      <c r="D8" s="29" t="s">
        <v>104</v>
      </c>
      <c r="E8" s="29" t="s">
        <v>20</v>
      </c>
      <c r="F8" s="29" t="s">
        <v>21</v>
      </c>
      <c r="G8" s="29" t="s">
        <v>22</v>
      </c>
      <c r="H8" s="33">
        <f t="shared" si="0"/>
        <v>1012.307625</v>
      </c>
      <c r="I8" s="31">
        <f>(H7+H8)/H12</f>
        <v>0.18852046551167895</v>
      </c>
      <c r="J8" s="29" t="s">
        <v>54</v>
      </c>
      <c r="K8" s="33">
        <v>47.61</v>
      </c>
      <c r="L8" s="36">
        <v>25</v>
      </c>
      <c r="M8" s="33">
        <f>K8*0.8505</f>
        <v>40.492305000000002</v>
      </c>
      <c r="N8" s="33">
        <v>48.664999999999999</v>
      </c>
      <c r="O8" s="33">
        <f>N8*B17</f>
        <v>38.990397999999999</v>
      </c>
      <c r="P8" s="33">
        <f t="shared" si="1"/>
        <v>974.75995</v>
      </c>
      <c r="Q8" s="31">
        <f>(P7+P8)/P12</f>
        <v>0.21475251057489589</v>
      </c>
      <c r="R8" s="33"/>
      <c r="S8" s="31">
        <f t="shared" si="2"/>
        <v>-3.7091170779238201E-2</v>
      </c>
      <c r="T8" s="31"/>
    </row>
    <row r="9" spans="1:20">
      <c r="A9" s="29" t="s">
        <v>38</v>
      </c>
      <c r="B9" s="38" t="s">
        <v>105</v>
      </c>
      <c r="C9" s="37" t="s">
        <v>106</v>
      </c>
      <c r="D9" s="29" t="s">
        <v>107</v>
      </c>
      <c r="E9" s="29" t="s">
        <v>29</v>
      </c>
      <c r="F9" s="29" t="s">
        <v>108</v>
      </c>
      <c r="G9" s="29" t="s">
        <v>22</v>
      </c>
      <c r="H9" s="33">
        <f t="shared" si="0"/>
        <v>921.2956200000001</v>
      </c>
      <c r="I9" s="31">
        <f>(H9)/H12</f>
        <v>9.4698652443075945E-2</v>
      </c>
      <c r="J9" s="29" t="s">
        <v>54</v>
      </c>
      <c r="K9" s="33">
        <v>270.81</v>
      </c>
      <c r="L9" s="36">
        <v>4</v>
      </c>
      <c r="M9" s="33">
        <f>K9*0.8505</f>
        <v>230.32390500000002</v>
      </c>
      <c r="N9" s="33">
        <v>318.88</v>
      </c>
      <c r="O9" s="33">
        <f>N9*B17</f>
        <v>255.48665600000001</v>
      </c>
      <c r="P9" s="33">
        <f t="shared" si="1"/>
        <v>1021.946624</v>
      </c>
      <c r="Q9" s="31">
        <f>(P9)/P12</f>
        <v>0.10327663005894541</v>
      </c>
      <c r="R9" s="33"/>
      <c r="S9" s="31">
        <f t="shared" si="2"/>
        <v>0.10924941117162798</v>
      </c>
      <c r="T9" s="31"/>
    </row>
    <row r="10" spans="1:20">
      <c r="A10" s="29" t="s">
        <v>46</v>
      </c>
      <c r="B10" s="29" t="s">
        <v>109</v>
      </c>
      <c r="C10" s="37" t="s">
        <v>110</v>
      </c>
      <c r="D10" s="29" t="s">
        <v>111</v>
      </c>
      <c r="E10" s="29" t="s">
        <v>10</v>
      </c>
      <c r="F10" s="29" t="s">
        <v>112</v>
      </c>
      <c r="G10" s="29" t="s">
        <v>16</v>
      </c>
      <c r="H10" s="33">
        <f t="shared" si="0"/>
        <v>1057.5</v>
      </c>
      <c r="I10" s="31">
        <f>(H10)/H12</f>
        <v>0.10869890487328356</v>
      </c>
      <c r="J10" s="29" t="s">
        <v>54</v>
      </c>
      <c r="K10" s="33">
        <v>105.75</v>
      </c>
      <c r="L10" s="36">
        <v>10</v>
      </c>
      <c r="M10" s="33">
        <f>K10</f>
        <v>105.75</v>
      </c>
      <c r="N10" s="33">
        <v>101.5</v>
      </c>
      <c r="O10" s="33">
        <f>N10</f>
        <v>101.5</v>
      </c>
      <c r="P10" s="33">
        <f t="shared" si="1"/>
        <v>1015</v>
      </c>
      <c r="Q10" s="31">
        <f>(P10)/P12</f>
        <v>0.1025746130453772</v>
      </c>
      <c r="R10" s="33"/>
      <c r="S10" s="31">
        <f t="shared" si="2"/>
        <v>-4.0189125295508277E-2</v>
      </c>
      <c r="T10" s="31"/>
    </row>
    <row r="11" spans="1:20" ht="28">
      <c r="A11" s="29" t="s">
        <v>113</v>
      </c>
      <c r="B11" s="39" t="s">
        <v>114</v>
      </c>
      <c r="C11" s="37" t="s">
        <v>115</v>
      </c>
      <c r="D11" s="29" t="s">
        <v>116</v>
      </c>
      <c r="E11" s="29" t="s">
        <v>20</v>
      </c>
      <c r="F11" s="29" t="s">
        <v>21</v>
      </c>
      <c r="G11" s="29" t="s">
        <v>22</v>
      </c>
      <c r="H11" s="33">
        <f t="shared" si="0"/>
        <v>1000.400625</v>
      </c>
      <c r="I11" s="31">
        <f>(H11)/H12</f>
        <v>0.10282974219579047</v>
      </c>
      <c r="J11" s="29" t="s">
        <v>54</v>
      </c>
      <c r="K11" s="33">
        <v>47.05</v>
      </c>
      <c r="L11" s="36">
        <v>25</v>
      </c>
      <c r="M11" s="33">
        <f>K11*0.8505</f>
        <v>40.016024999999999</v>
      </c>
      <c r="N11" s="33">
        <v>46.48</v>
      </c>
      <c r="O11" s="33">
        <f>N11*B17</f>
        <v>37.239775999999999</v>
      </c>
      <c r="P11" s="33">
        <f t="shared" si="1"/>
        <v>930.99439999999993</v>
      </c>
      <c r="Q11" s="31">
        <f>(P11)/P12</f>
        <v>9.408511362306711E-2</v>
      </c>
      <c r="R11" s="33"/>
      <c r="S11" s="31">
        <f t="shared" si="2"/>
        <v>-6.9378430266374594E-2</v>
      </c>
      <c r="T11" s="31"/>
    </row>
    <row r="12" spans="1:20" s="4" customFormat="1">
      <c r="A12" s="10"/>
      <c r="B12" s="10"/>
      <c r="C12" s="10"/>
      <c r="D12" s="10"/>
      <c r="E12" s="10"/>
      <c r="F12" s="10"/>
      <c r="G12" s="10"/>
      <c r="H12" s="11">
        <f>SUM(H2:H11)</f>
        <v>9728.7088700000004</v>
      </c>
      <c r="I12" s="12">
        <f>SUM(I2:I11)</f>
        <v>1</v>
      </c>
      <c r="J12" s="10"/>
      <c r="K12" s="11"/>
      <c r="L12" s="19"/>
      <c r="M12" s="11"/>
      <c r="N12" s="11"/>
      <c r="O12" s="11"/>
      <c r="P12" s="11">
        <f>SUM(P2:P11)</f>
        <v>9895.2359639999995</v>
      </c>
      <c r="Q12" s="12">
        <f>SUM(Q2:Q11)</f>
        <v>1</v>
      </c>
      <c r="R12" s="11"/>
      <c r="S12" s="12">
        <f t="shared" si="2"/>
        <v>1.7117080614213007E-2</v>
      </c>
      <c r="T12" s="12"/>
    </row>
    <row r="14" spans="1:20">
      <c r="A14" s="40" t="s">
        <v>72</v>
      </c>
      <c r="B14" s="40"/>
      <c r="C14" s="40"/>
      <c r="D14" s="40"/>
      <c r="E14" s="40"/>
      <c r="F14" s="40"/>
      <c r="G14" s="40"/>
      <c r="H14" s="41"/>
      <c r="I14" s="42"/>
      <c r="J14" s="40" t="s">
        <v>64</v>
      </c>
      <c r="K14" s="41">
        <v>2010.9459999999999</v>
      </c>
      <c r="L14" s="43"/>
      <c r="M14" s="41"/>
      <c r="N14" s="41">
        <v>2213.23</v>
      </c>
      <c r="O14" s="41"/>
      <c r="P14" s="41"/>
      <c r="Q14" s="42"/>
      <c r="R14" s="41" t="s">
        <v>64</v>
      </c>
      <c r="S14" s="42">
        <f>(N14-K14)/K14</f>
        <v>0.10059146292342018</v>
      </c>
      <c r="T14" s="42"/>
    </row>
    <row r="16" spans="1:20">
      <c r="A16" s="35" t="s">
        <v>117</v>
      </c>
    </row>
    <row r="17" spans="1:2">
      <c r="A17" s="35" t="s">
        <v>22</v>
      </c>
      <c r="B17" s="35">
        <f>'170830_langfr_Geldanlage'!B18</f>
        <v>0.80120000000000002</v>
      </c>
    </row>
    <row r="18" spans="1:2">
      <c r="A18" s="35" t="s">
        <v>90</v>
      </c>
      <c r="B18" s="35">
        <v>0.8619</v>
      </c>
    </row>
    <row r="19" spans="1:2">
      <c r="A19" s="35" t="s">
        <v>83</v>
      </c>
      <c r="B19" s="35">
        <v>0.13420000000000001</v>
      </c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2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3" sqref="R13"/>
    </sheetView>
  </sheetViews>
  <sheetFormatPr baseColWidth="10" defaultRowHeight="15" x14ac:dyDescent="0"/>
  <cols>
    <col min="1" max="1" width="19" style="35" bestFit="1" customWidth="1"/>
    <col min="2" max="2" width="37.5" style="35" customWidth="1"/>
    <col min="3" max="3" width="19.83203125" style="35" bestFit="1" customWidth="1"/>
    <col min="4" max="4" width="12.33203125" style="35" bestFit="1" customWidth="1"/>
    <col min="5" max="5" width="9.5" style="35" bestFit="1" customWidth="1"/>
    <col min="6" max="6" width="11.33203125" style="35" bestFit="1" customWidth="1"/>
    <col min="7" max="7" width="8.83203125" style="35" bestFit="1" customWidth="1"/>
    <col min="8" max="8" width="9.33203125" style="44" bestFit="1" customWidth="1"/>
    <col min="9" max="9" width="9.83203125" style="45" bestFit="1" customWidth="1"/>
    <col min="10" max="10" width="18.33203125" style="35" bestFit="1" customWidth="1"/>
    <col min="11" max="11" width="11.1640625" style="44" customWidth="1"/>
    <col min="12" max="12" width="7" style="46" bestFit="1" customWidth="1"/>
    <col min="13" max="13" width="8.33203125" style="44" bestFit="1" customWidth="1"/>
    <col min="14" max="16" width="10.5" style="44" customWidth="1"/>
    <col min="17" max="17" width="10.5" style="45" customWidth="1"/>
    <col min="18" max="18" width="18.33203125" style="44" bestFit="1" customWidth="1"/>
    <col min="19" max="19" width="11.83203125" style="45" customWidth="1"/>
    <col min="20" max="20" width="12.6640625" style="45" customWidth="1"/>
    <col min="21" max="16384" width="10.83203125" style="35"/>
  </cols>
  <sheetData>
    <row r="1" spans="1:20" ht="30">
      <c r="A1" s="29" t="s">
        <v>0</v>
      </c>
      <c r="B1" s="29" t="s">
        <v>2</v>
      </c>
      <c r="C1" s="29" t="s">
        <v>1</v>
      </c>
      <c r="D1" s="29" t="s">
        <v>56</v>
      </c>
      <c r="E1" s="29" t="s">
        <v>11</v>
      </c>
      <c r="F1" s="29" t="s">
        <v>12</v>
      </c>
      <c r="G1" s="29" t="s">
        <v>13</v>
      </c>
      <c r="H1" s="33" t="s">
        <v>118</v>
      </c>
      <c r="I1" s="31" t="s">
        <v>3</v>
      </c>
      <c r="J1" s="29" t="s">
        <v>51</v>
      </c>
      <c r="K1" s="30" t="s">
        <v>71</v>
      </c>
      <c r="L1" s="32" t="s">
        <v>73</v>
      </c>
      <c r="M1" s="33" t="s">
        <v>55</v>
      </c>
      <c r="N1" s="50" t="s">
        <v>193</v>
      </c>
      <c r="O1" s="50" t="s">
        <v>194</v>
      </c>
      <c r="P1" s="50" t="s">
        <v>195</v>
      </c>
      <c r="Q1" s="31" t="s">
        <v>3</v>
      </c>
      <c r="R1" s="29" t="s">
        <v>51</v>
      </c>
      <c r="S1" s="34" t="s">
        <v>70</v>
      </c>
      <c r="T1" s="34" t="s">
        <v>74</v>
      </c>
    </row>
    <row r="2" spans="1:20">
      <c r="A2" s="29" t="s">
        <v>4</v>
      </c>
      <c r="B2" s="29" t="s">
        <v>119</v>
      </c>
      <c r="C2" s="47" t="s">
        <v>120</v>
      </c>
      <c r="D2" s="29" t="s">
        <v>121</v>
      </c>
      <c r="E2" s="29" t="s">
        <v>20</v>
      </c>
      <c r="F2" s="29" t="s">
        <v>21</v>
      </c>
      <c r="G2" s="29" t="s">
        <v>22</v>
      </c>
      <c r="H2" s="33">
        <f t="shared" ref="H2:H10" si="0">L2*M2</f>
        <v>965.55564000000004</v>
      </c>
      <c r="I2" s="31"/>
      <c r="J2" s="29" t="s">
        <v>66</v>
      </c>
      <c r="K2" s="33">
        <v>141.91</v>
      </c>
      <c r="L2" s="36">
        <v>8</v>
      </c>
      <c r="M2" s="33">
        <f>K2*0.8505</f>
        <v>120.694455</v>
      </c>
      <c r="N2" s="33">
        <v>117.46</v>
      </c>
      <c r="O2" s="33">
        <f>N2*B21</f>
        <v>94.108952000000002</v>
      </c>
      <c r="P2" s="33">
        <f t="shared" ref="P2:P10" si="1">L2*O2</f>
        <v>752.87161600000002</v>
      </c>
      <c r="Q2" s="31"/>
      <c r="R2" s="29"/>
      <c r="S2" s="31">
        <f t="shared" ref="S2:S11" si="2">(P2-H2)/H2</f>
        <v>-0.22027112181748534</v>
      </c>
      <c r="T2" s="31"/>
    </row>
    <row r="3" spans="1:20">
      <c r="A3" s="29" t="s">
        <v>4</v>
      </c>
      <c r="B3" s="29" t="s">
        <v>122</v>
      </c>
      <c r="C3" s="29" t="s">
        <v>123</v>
      </c>
      <c r="D3" s="29" t="s">
        <v>124</v>
      </c>
      <c r="E3" s="29" t="s">
        <v>20</v>
      </c>
      <c r="F3" s="29" t="s">
        <v>21</v>
      </c>
      <c r="G3" s="29" t="s">
        <v>22</v>
      </c>
      <c r="H3" s="33">
        <f t="shared" si="0"/>
        <v>1031.7415500000002</v>
      </c>
      <c r="I3" s="31">
        <f>(H2+H3)/H11</f>
        <v>0.21980517214909601</v>
      </c>
      <c r="J3" s="29" t="s">
        <v>75</v>
      </c>
      <c r="K3" s="33">
        <v>86.65</v>
      </c>
      <c r="L3" s="36">
        <v>14</v>
      </c>
      <c r="M3" s="33">
        <f>K3*0.8505</f>
        <v>73.695825000000013</v>
      </c>
      <c r="N3" s="33">
        <v>92.01</v>
      </c>
      <c r="O3" s="33">
        <f>N3*B21</f>
        <v>73.718412000000001</v>
      </c>
      <c r="P3" s="33">
        <f t="shared" si="1"/>
        <v>1032.0577680000001</v>
      </c>
      <c r="Q3" s="31">
        <f>(P2+P3)/P11</f>
        <v>0.20085302885695605</v>
      </c>
      <c r="R3" s="33"/>
      <c r="S3" s="31">
        <f t="shared" si="2"/>
        <v>3.0648954672799134E-4</v>
      </c>
      <c r="T3" s="31"/>
    </row>
    <row r="4" spans="1:20">
      <c r="A4" s="29" t="s">
        <v>17</v>
      </c>
      <c r="B4" s="29" t="s">
        <v>125</v>
      </c>
      <c r="C4" s="29" t="s">
        <v>24</v>
      </c>
      <c r="D4" s="29" t="s">
        <v>67</v>
      </c>
      <c r="E4" s="29" t="s">
        <v>20</v>
      </c>
      <c r="F4" s="29" t="s">
        <v>21</v>
      </c>
      <c r="G4" s="29" t="s">
        <v>22</v>
      </c>
      <c r="H4" s="33">
        <f t="shared" si="0"/>
        <v>975.03021000000001</v>
      </c>
      <c r="I4" s="31"/>
      <c r="J4" s="29" t="s">
        <v>54</v>
      </c>
      <c r="K4" s="33">
        <v>52.11</v>
      </c>
      <c r="L4" s="36">
        <v>22</v>
      </c>
      <c r="M4" s="33">
        <f>K4*0.8505</f>
        <v>44.319555000000001</v>
      </c>
      <c r="N4" s="33">
        <v>67.921000000000006</v>
      </c>
      <c r="O4" s="33">
        <f>N4*B21</f>
        <v>54.418305200000006</v>
      </c>
      <c r="P4" s="33">
        <f t="shared" si="1"/>
        <v>1197.2027144000001</v>
      </c>
      <c r="Q4" s="31"/>
      <c r="R4" s="33"/>
      <c r="S4" s="31">
        <f t="shared" si="2"/>
        <v>0.22786217506019643</v>
      </c>
      <c r="T4" s="31"/>
    </row>
    <row r="5" spans="1:20">
      <c r="A5" s="29" t="s">
        <v>17</v>
      </c>
      <c r="B5" s="29" t="s">
        <v>126</v>
      </c>
      <c r="C5" s="29" t="s">
        <v>127</v>
      </c>
      <c r="D5" s="29" t="s">
        <v>128</v>
      </c>
      <c r="E5" s="29" t="s">
        <v>10</v>
      </c>
      <c r="F5" s="29" t="s">
        <v>129</v>
      </c>
      <c r="G5" s="29" t="s">
        <v>130</v>
      </c>
      <c r="H5" s="33">
        <f t="shared" si="0"/>
        <v>1003.5520749999999</v>
      </c>
      <c r="I5" s="31">
        <f>(H4+H5)/H11</f>
        <v>0.21774557233797373</v>
      </c>
      <c r="J5" s="29" t="s">
        <v>66</v>
      </c>
      <c r="K5" s="33">
        <v>52.45</v>
      </c>
      <c r="L5" s="36">
        <v>17</v>
      </c>
      <c r="M5" s="33">
        <f>K5*1.1255</f>
        <v>59.032474999999998</v>
      </c>
      <c r="N5" s="33">
        <v>50.54</v>
      </c>
      <c r="O5" s="33">
        <f>N5*B22</f>
        <v>57.645924000000001</v>
      </c>
      <c r="P5" s="33">
        <f t="shared" si="1"/>
        <v>979.98070800000005</v>
      </c>
      <c r="Q5" s="31">
        <f>(P4+P5)/P11</f>
        <v>0.24499226058244644</v>
      </c>
      <c r="R5" s="33"/>
      <c r="S5" s="31">
        <f t="shared" si="2"/>
        <v>-2.3487936089415087E-2</v>
      </c>
      <c r="T5" s="31"/>
    </row>
    <row r="6" spans="1:20">
      <c r="A6" s="29" t="s">
        <v>46</v>
      </c>
      <c r="B6" s="38" t="s">
        <v>131</v>
      </c>
      <c r="C6" s="29" t="s">
        <v>132</v>
      </c>
      <c r="D6" s="29" t="s">
        <v>133</v>
      </c>
      <c r="E6" s="29" t="s">
        <v>20</v>
      </c>
      <c r="F6" s="29" t="s">
        <v>21</v>
      </c>
      <c r="G6" s="29" t="s">
        <v>22</v>
      </c>
      <c r="H6" s="33">
        <f t="shared" si="0"/>
        <v>1091.0214000000001</v>
      </c>
      <c r="I6" s="31"/>
      <c r="J6" s="29" t="s">
        <v>134</v>
      </c>
      <c r="K6" s="33">
        <v>213.8</v>
      </c>
      <c r="L6" s="36">
        <v>6</v>
      </c>
      <c r="M6" s="33">
        <f>K6*0.8505</f>
        <v>181.83690000000001</v>
      </c>
      <c r="N6" s="33">
        <v>193.44</v>
      </c>
      <c r="O6" s="33">
        <f>N6*B21</f>
        <v>154.984128</v>
      </c>
      <c r="P6" s="33">
        <f t="shared" si="1"/>
        <v>929.90476799999999</v>
      </c>
      <c r="Q6" s="31"/>
      <c r="R6" s="33"/>
      <c r="S6" s="31">
        <f t="shared" si="2"/>
        <v>-0.14767504285433822</v>
      </c>
      <c r="T6" s="31"/>
    </row>
    <row r="7" spans="1:20">
      <c r="A7" s="29" t="s">
        <v>46</v>
      </c>
      <c r="B7" s="29" t="s">
        <v>135</v>
      </c>
      <c r="C7" s="29" t="s">
        <v>136</v>
      </c>
      <c r="D7" s="29" t="s">
        <v>137</v>
      </c>
      <c r="E7" s="29" t="s">
        <v>20</v>
      </c>
      <c r="F7" s="29" t="s">
        <v>21</v>
      </c>
      <c r="G7" s="29" t="s">
        <v>22</v>
      </c>
      <c r="H7" s="33">
        <f t="shared" si="0"/>
        <v>997.44938999999999</v>
      </c>
      <c r="I7" s="31">
        <f>(H6+H7)/H11</f>
        <v>0.22983894626332926</v>
      </c>
      <c r="J7" s="29" t="s">
        <v>134</v>
      </c>
      <c r="K7" s="33">
        <v>83.77</v>
      </c>
      <c r="L7" s="36">
        <v>14</v>
      </c>
      <c r="M7" s="33">
        <f>K7*0.8505</f>
        <v>71.246385000000004</v>
      </c>
      <c r="N7" s="33">
        <v>100.08499999999999</v>
      </c>
      <c r="O7" s="33">
        <f>N7*B21</f>
        <v>80.188102000000001</v>
      </c>
      <c r="P7" s="33">
        <f t="shared" si="1"/>
        <v>1122.6334280000001</v>
      </c>
      <c r="Q7" s="31">
        <f>(P6+P7)/P11</f>
        <v>0.23096628763392721</v>
      </c>
      <c r="R7" s="33"/>
      <c r="S7" s="31">
        <f t="shared" si="2"/>
        <v>0.12550415014038968</v>
      </c>
      <c r="T7" s="31"/>
    </row>
    <row r="8" spans="1:20">
      <c r="A8" s="29" t="s">
        <v>26</v>
      </c>
      <c r="B8" s="29" t="s">
        <v>138</v>
      </c>
      <c r="C8" s="29" t="s">
        <v>139</v>
      </c>
      <c r="D8" s="29" t="s">
        <v>140</v>
      </c>
      <c r="E8" s="29" t="s">
        <v>10</v>
      </c>
      <c r="F8" s="29" t="s">
        <v>141</v>
      </c>
      <c r="G8" s="29" t="s">
        <v>16</v>
      </c>
      <c r="H8" s="33">
        <f t="shared" si="0"/>
        <v>1006.02</v>
      </c>
      <c r="I8" s="31">
        <f>(H8)/H11</f>
        <v>0.11071381885108121</v>
      </c>
      <c r="J8" s="29" t="s">
        <v>134</v>
      </c>
      <c r="K8" s="33">
        <v>55.89</v>
      </c>
      <c r="L8" s="36">
        <v>18</v>
      </c>
      <c r="M8" s="33">
        <f>K8</f>
        <v>55.89</v>
      </c>
      <c r="N8" s="33">
        <v>54.4</v>
      </c>
      <c r="O8" s="33">
        <f>N8</f>
        <v>54.4</v>
      </c>
      <c r="P8" s="33">
        <f t="shared" si="1"/>
        <v>979.19999999999993</v>
      </c>
      <c r="Q8" s="31">
        <f>(P8)/P11</f>
        <v>0.11018659204096073</v>
      </c>
      <c r="R8" s="33"/>
      <c r="S8" s="31">
        <f t="shared" si="2"/>
        <v>-2.6659509751297241E-2</v>
      </c>
      <c r="T8" s="31"/>
    </row>
    <row r="9" spans="1:20">
      <c r="A9" s="29" t="s">
        <v>38</v>
      </c>
      <c r="B9" s="38" t="s">
        <v>142</v>
      </c>
      <c r="C9" s="29" t="s">
        <v>143</v>
      </c>
      <c r="D9" s="29" t="s">
        <v>144</v>
      </c>
      <c r="E9" s="29" t="s">
        <v>10</v>
      </c>
      <c r="F9" s="29" t="s">
        <v>145</v>
      </c>
      <c r="G9" s="29" t="s">
        <v>16</v>
      </c>
      <c r="H9" s="33">
        <f t="shared" si="0"/>
        <v>1008.28</v>
      </c>
      <c r="I9" s="31">
        <f>(H9)/H11</f>
        <v>0.11096253481160231</v>
      </c>
      <c r="J9" s="29" t="s">
        <v>75</v>
      </c>
      <c r="K9" s="33">
        <v>19.39</v>
      </c>
      <c r="L9" s="36">
        <v>52</v>
      </c>
      <c r="M9" s="33">
        <f>K9</f>
        <v>19.39</v>
      </c>
      <c r="N9" s="33">
        <v>17.8</v>
      </c>
      <c r="O9" s="33">
        <f>N9</f>
        <v>17.8</v>
      </c>
      <c r="P9" s="33">
        <f t="shared" si="1"/>
        <v>925.6</v>
      </c>
      <c r="Q9" s="31">
        <f>(P9)/P11</f>
        <v>0.10415513643087547</v>
      </c>
      <c r="R9" s="33"/>
      <c r="S9" s="31">
        <f t="shared" si="2"/>
        <v>-8.2001031459515164E-2</v>
      </c>
      <c r="T9" s="31"/>
    </row>
    <row r="10" spans="1:20">
      <c r="A10" s="29" t="s">
        <v>113</v>
      </c>
      <c r="B10" s="29" t="s">
        <v>146</v>
      </c>
      <c r="C10" s="29" t="s">
        <v>147</v>
      </c>
      <c r="D10" s="29" t="s">
        <v>148</v>
      </c>
      <c r="E10" s="29" t="s">
        <v>10</v>
      </c>
      <c r="F10" s="29" t="s">
        <v>129</v>
      </c>
      <c r="G10" s="29" t="s">
        <v>130</v>
      </c>
      <c r="H10" s="33">
        <f t="shared" si="0"/>
        <v>1008.0203099999999</v>
      </c>
      <c r="I10" s="31">
        <f>(H10)/H11</f>
        <v>0.11093395558691747</v>
      </c>
      <c r="J10" s="29" t="s">
        <v>66</v>
      </c>
      <c r="K10" s="33">
        <v>9.7349999999999994</v>
      </c>
      <c r="L10" s="36">
        <v>92</v>
      </c>
      <c r="M10" s="33">
        <f>K10*1.1255</f>
        <v>10.956742499999999</v>
      </c>
      <c r="N10" s="33">
        <v>9.218</v>
      </c>
      <c r="O10" s="33">
        <f>N10*B22</f>
        <v>10.5140508</v>
      </c>
      <c r="P10" s="33">
        <f t="shared" si="1"/>
        <v>967.29267359999994</v>
      </c>
      <c r="Q10" s="31">
        <f>(P10)/P11</f>
        <v>0.10884669445483393</v>
      </c>
      <c r="R10" s="33"/>
      <c r="S10" s="31">
        <f t="shared" si="2"/>
        <v>-4.0403587106295449E-2</v>
      </c>
      <c r="T10" s="31"/>
    </row>
    <row r="11" spans="1:20" s="4" customFormat="1">
      <c r="A11" s="10"/>
      <c r="B11" s="10"/>
      <c r="C11" s="10"/>
      <c r="D11" s="10"/>
      <c r="E11" s="10"/>
      <c r="F11" s="10"/>
      <c r="G11" s="10"/>
      <c r="H11" s="11">
        <f>SUM(H2:H10)</f>
        <v>9086.6705750000001</v>
      </c>
      <c r="I11" s="12">
        <f>SUM(I2:I10)</f>
        <v>1</v>
      </c>
      <c r="J11" s="10"/>
      <c r="K11" s="11"/>
      <c r="L11" s="19"/>
      <c r="M11" s="11"/>
      <c r="N11" s="11"/>
      <c r="O11" s="11"/>
      <c r="P11" s="11">
        <f>SUM(P2:P10)</f>
        <v>8886.7436760000019</v>
      </c>
      <c r="Q11" s="12">
        <f>SUM(Q2:Q10)</f>
        <v>0.99999999999999989</v>
      </c>
      <c r="R11" s="11"/>
      <c r="S11" s="12">
        <f t="shared" si="2"/>
        <v>-2.2002217132208322E-2</v>
      </c>
      <c r="T11" s="12"/>
    </row>
    <row r="13" spans="1:20">
      <c r="A13" s="40" t="s">
        <v>72</v>
      </c>
      <c r="B13" s="40"/>
      <c r="C13" s="40"/>
      <c r="D13" s="40"/>
      <c r="E13" s="40"/>
      <c r="F13" s="40"/>
      <c r="G13" s="40"/>
      <c r="H13" s="41"/>
      <c r="I13" s="42"/>
      <c r="J13" s="40" t="s">
        <v>64</v>
      </c>
      <c r="K13" s="41">
        <v>2010.9459999999999</v>
      </c>
      <c r="L13" s="43"/>
      <c r="M13" s="41"/>
      <c r="N13" s="41">
        <v>2213.23</v>
      </c>
      <c r="O13" s="41"/>
      <c r="P13" s="41"/>
      <c r="Q13" s="42"/>
      <c r="R13" s="41" t="s">
        <v>149</v>
      </c>
      <c r="S13" s="42">
        <f>(N13-K13)/K13</f>
        <v>0.10059146292342018</v>
      </c>
      <c r="T13" s="42"/>
    </row>
    <row r="16" spans="1:20">
      <c r="A16" s="35" t="s">
        <v>150</v>
      </c>
      <c r="B16" s="48">
        <v>43012</v>
      </c>
    </row>
    <row r="18" spans="1:2">
      <c r="A18" s="35" t="s">
        <v>151</v>
      </c>
      <c r="B18" s="49">
        <v>43131</v>
      </c>
    </row>
    <row r="21" spans="1:2">
      <c r="A21" s="35" t="s">
        <v>22</v>
      </c>
      <c r="B21" s="35">
        <f>'171004_langfr_Geldanlage'!B17</f>
        <v>0.80120000000000002</v>
      </c>
    </row>
    <row r="22" spans="1:2">
      <c r="A22" s="35" t="s">
        <v>130</v>
      </c>
      <c r="B22" s="35">
        <f>'170830_langfr_Geldanlage'!B19</f>
        <v>1.1406000000000001</v>
      </c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21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1" sqref="O1:Q1"/>
    </sheetView>
  </sheetViews>
  <sheetFormatPr baseColWidth="10" defaultRowHeight="15" x14ac:dyDescent="0"/>
  <cols>
    <col min="1" max="1" width="19" style="35" bestFit="1" customWidth="1"/>
    <col min="2" max="2" width="37.5" style="35" customWidth="1"/>
    <col min="3" max="3" width="19.83203125" style="35" bestFit="1" customWidth="1"/>
    <col min="4" max="4" width="12.33203125" style="35" bestFit="1" customWidth="1"/>
    <col min="5" max="5" width="9.5" style="35" bestFit="1" customWidth="1"/>
    <col min="6" max="6" width="5.1640625" style="35" bestFit="1" customWidth="1"/>
    <col min="7" max="7" width="8.83203125" style="35" bestFit="1" customWidth="1"/>
    <col min="8" max="8" width="9.33203125" style="44" bestFit="1" customWidth="1"/>
    <col min="9" max="9" width="9.83203125" style="45" bestFit="1" customWidth="1"/>
    <col min="10" max="10" width="18.33203125" style="35" bestFit="1" customWidth="1"/>
    <col min="11" max="11" width="13.1640625" style="45" customWidth="1"/>
    <col min="12" max="12" width="11.1640625" style="44" customWidth="1"/>
    <col min="13" max="13" width="7" style="46" bestFit="1" customWidth="1"/>
    <col min="14" max="14" width="8.33203125" style="44" bestFit="1" customWidth="1"/>
    <col min="15" max="17" width="10.5" style="44" customWidth="1"/>
    <col min="18" max="18" width="10.5" style="45" customWidth="1"/>
    <col min="19" max="19" width="18.33203125" style="44" bestFit="1" customWidth="1"/>
    <col min="20" max="20" width="11.83203125" style="45" customWidth="1"/>
    <col min="21" max="21" width="12.6640625" style="45" customWidth="1"/>
    <col min="22" max="16384" width="10.83203125" style="35"/>
  </cols>
  <sheetData>
    <row r="1" spans="1:21" ht="45">
      <c r="A1" s="29" t="s">
        <v>0</v>
      </c>
      <c r="B1" s="29" t="s">
        <v>2</v>
      </c>
      <c r="C1" s="29" t="s">
        <v>1</v>
      </c>
      <c r="D1" s="29" t="s">
        <v>56</v>
      </c>
      <c r="E1" s="29" t="s">
        <v>11</v>
      </c>
      <c r="F1" s="29" t="s">
        <v>12</v>
      </c>
      <c r="G1" s="29" t="s">
        <v>13</v>
      </c>
      <c r="H1" s="33" t="s">
        <v>118</v>
      </c>
      <c r="I1" s="31" t="s">
        <v>3</v>
      </c>
      <c r="J1" s="29" t="s">
        <v>51</v>
      </c>
      <c r="K1" s="34" t="s">
        <v>152</v>
      </c>
      <c r="L1" s="30" t="s">
        <v>71</v>
      </c>
      <c r="M1" s="32" t="s">
        <v>73</v>
      </c>
      <c r="N1" s="33" t="s">
        <v>55</v>
      </c>
      <c r="O1" s="50" t="s">
        <v>193</v>
      </c>
      <c r="P1" s="50" t="s">
        <v>194</v>
      </c>
      <c r="Q1" s="50" t="s">
        <v>195</v>
      </c>
      <c r="R1" s="31" t="s">
        <v>3</v>
      </c>
      <c r="S1" s="29" t="s">
        <v>51</v>
      </c>
      <c r="T1" s="34" t="s">
        <v>70</v>
      </c>
      <c r="U1" s="34" t="s">
        <v>74</v>
      </c>
    </row>
    <row r="2" spans="1:21">
      <c r="A2" s="29" t="s">
        <v>38</v>
      </c>
      <c r="B2" s="29" t="s">
        <v>153</v>
      </c>
      <c r="C2" s="29" t="s">
        <v>154</v>
      </c>
      <c r="D2" s="29" t="s">
        <v>155</v>
      </c>
      <c r="E2" s="29" t="s">
        <v>10</v>
      </c>
      <c r="F2" s="29" t="s">
        <v>156</v>
      </c>
      <c r="G2" s="29" t="s">
        <v>16</v>
      </c>
      <c r="H2" s="33">
        <f t="shared" ref="H2:H9" si="0">M2*N2</f>
        <v>1003.3199999999999</v>
      </c>
      <c r="I2" s="31"/>
      <c r="J2" s="29" t="s">
        <v>60</v>
      </c>
      <c r="K2" s="31">
        <v>0.46500000000000002</v>
      </c>
      <c r="L2" s="33">
        <v>18.579999999999998</v>
      </c>
      <c r="M2" s="36">
        <v>54</v>
      </c>
      <c r="N2" s="33">
        <f>L2</f>
        <v>18.579999999999998</v>
      </c>
      <c r="O2" s="33">
        <v>12.895</v>
      </c>
      <c r="P2" s="33">
        <f>O2</f>
        <v>12.895</v>
      </c>
      <c r="Q2" s="33">
        <f t="shared" ref="Q2:Q9" si="1">M2*P2</f>
        <v>696.32999999999993</v>
      </c>
      <c r="R2" s="31"/>
      <c r="S2" s="29"/>
      <c r="T2" s="31">
        <f t="shared" ref="T2:T10" si="2">(Q2-H2)/H2</f>
        <v>-0.30597416576964481</v>
      </c>
      <c r="U2" s="31"/>
    </row>
    <row r="3" spans="1:21">
      <c r="A3" s="29" t="s">
        <v>38</v>
      </c>
      <c r="B3" s="47" t="s">
        <v>157</v>
      </c>
      <c r="C3" s="29" t="s">
        <v>158</v>
      </c>
      <c r="D3" s="29" t="s">
        <v>159</v>
      </c>
      <c r="E3" s="29" t="s">
        <v>20</v>
      </c>
      <c r="F3" s="29" t="s">
        <v>21</v>
      </c>
      <c r="G3" s="29" t="s">
        <v>22</v>
      </c>
      <c r="H3" s="33">
        <f t="shared" si="0"/>
        <v>922.82652000000007</v>
      </c>
      <c r="I3" s="31">
        <f>(H2+H3)/H10</f>
        <v>0.24373056340860216</v>
      </c>
      <c r="J3" s="29" t="s">
        <v>60</v>
      </c>
      <c r="K3" s="31">
        <v>0.38</v>
      </c>
      <c r="L3" s="33">
        <v>120.56</v>
      </c>
      <c r="M3" s="36">
        <v>9</v>
      </c>
      <c r="N3" s="33">
        <f>L3*0.8505</f>
        <v>102.53628</v>
      </c>
      <c r="O3" s="33">
        <v>124.55</v>
      </c>
      <c r="P3" s="33">
        <f>O3*B20</f>
        <v>99.789460000000005</v>
      </c>
      <c r="Q3" s="33">
        <f t="shared" si="1"/>
        <v>898.10514000000001</v>
      </c>
      <c r="R3" s="31">
        <f>(Q2+Q3)/Q10</f>
        <v>0.19912738373801098</v>
      </c>
      <c r="S3" s="33"/>
      <c r="T3" s="31">
        <f t="shared" si="2"/>
        <v>-2.678876198746441E-2</v>
      </c>
      <c r="U3" s="31"/>
    </row>
    <row r="4" spans="1:21">
      <c r="A4" s="29" t="s">
        <v>25</v>
      </c>
      <c r="B4" s="29" t="s">
        <v>160</v>
      </c>
      <c r="C4" s="29" t="s">
        <v>161</v>
      </c>
      <c r="D4" s="29" t="s">
        <v>162</v>
      </c>
      <c r="E4" s="29" t="s">
        <v>20</v>
      </c>
      <c r="F4" s="29" t="s">
        <v>21</v>
      </c>
      <c r="G4" s="29" t="s">
        <v>22</v>
      </c>
      <c r="H4" s="33">
        <f t="shared" si="0"/>
        <v>934.61445000000003</v>
      </c>
      <c r="I4" s="31"/>
      <c r="J4" s="29" t="s">
        <v>53</v>
      </c>
      <c r="K4" s="31">
        <v>0.48599999999999999</v>
      </c>
      <c r="L4" s="33">
        <v>99.9</v>
      </c>
      <c r="M4" s="36">
        <v>11</v>
      </c>
      <c r="N4" s="33">
        <f>L4*0.8505</f>
        <v>84.964950000000002</v>
      </c>
      <c r="O4" s="33">
        <v>156.97999999999999</v>
      </c>
      <c r="P4" s="33">
        <f>O4*B20</f>
        <v>125.77237599999999</v>
      </c>
      <c r="Q4" s="33">
        <f t="shared" si="1"/>
        <v>1383.496136</v>
      </c>
      <c r="R4" s="31"/>
      <c r="S4" s="33"/>
      <c r="T4" s="31">
        <f t="shared" si="2"/>
        <v>0.48028541180804546</v>
      </c>
      <c r="U4" s="31"/>
    </row>
    <row r="5" spans="1:21">
      <c r="A5" s="29" t="s">
        <v>25</v>
      </c>
      <c r="B5" s="29" t="s">
        <v>163</v>
      </c>
      <c r="C5" s="29" t="s">
        <v>164</v>
      </c>
      <c r="D5" s="29" t="s">
        <v>165</v>
      </c>
      <c r="E5" s="29" t="s">
        <v>10</v>
      </c>
      <c r="F5" s="29" t="s">
        <v>141</v>
      </c>
      <c r="G5" s="29" t="s">
        <v>16</v>
      </c>
      <c r="H5" s="33">
        <f t="shared" si="0"/>
        <v>993.72</v>
      </c>
      <c r="I5" s="31">
        <f>(H4+H5)/H10</f>
        <v>0.24400741950758606</v>
      </c>
      <c r="J5" s="29" t="s">
        <v>53</v>
      </c>
      <c r="K5" s="31">
        <v>0.63</v>
      </c>
      <c r="L5" s="33">
        <v>38.22</v>
      </c>
      <c r="M5" s="36">
        <v>26</v>
      </c>
      <c r="N5" s="33">
        <f>L5</f>
        <v>38.22</v>
      </c>
      <c r="O5" s="33">
        <v>53.5</v>
      </c>
      <c r="P5" s="33">
        <f>O5</f>
        <v>53.5</v>
      </c>
      <c r="Q5" s="33">
        <f t="shared" si="1"/>
        <v>1391</v>
      </c>
      <c r="R5" s="31">
        <f>(Q4+Q5)/Q10</f>
        <v>0.34650400188301211</v>
      </c>
      <c r="S5" s="33"/>
      <c r="T5" s="31">
        <f t="shared" si="2"/>
        <v>0.39979068550497115</v>
      </c>
      <c r="U5" s="31"/>
    </row>
    <row r="6" spans="1:21">
      <c r="A6" s="29" t="s">
        <v>46</v>
      </c>
      <c r="B6" s="29" t="s">
        <v>166</v>
      </c>
      <c r="C6" s="29" t="s">
        <v>167</v>
      </c>
      <c r="D6" s="29" t="s">
        <v>168</v>
      </c>
      <c r="E6" s="29" t="s">
        <v>10</v>
      </c>
      <c r="F6" s="29" t="s">
        <v>129</v>
      </c>
      <c r="G6" s="29" t="s">
        <v>130</v>
      </c>
      <c r="H6" s="33">
        <f t="shared" si="0"/>
        <v>994.81819499999995</v>
      </c>
      <c r="I6" s="31"/>
      <c r="J6" s="29" t="s">
        <v>53</v>
      </c>
      <c r="K6" s="31">
        <v>0.3</v>
      </c>
      <c r="L6" s="33">
        <v>14.03</v>
      </c>
      <c r="M6" s="36">
        <v>63</v>
      </c>
      <c r="N6" s="33">
        <f>L6*1.1255</f>
        <v>15.790764999999999</v>
      </c>
      <c r="O6" s="33">
        <v>13.03</v>
      </c>
      <c r="P6" s="33">
        <f>O6*B21</f>
        <v>14.862018000000001</v>
      </c>
      <c r="Q6" s="33">
        <f t="shared" si="1"/>
        <v>936.30713400000002</v>
      </c>
      <c r="R6" s="31"/>
      <c r="S6" s="33"/>
      <c r="T6" s="31">
        <f t="shared" si="2"/>
        <v>-5.8815833178443154E-2</v>
      </c>
      <c r="U6" s="31"/>
    </row>
    <row r="7" spans="1:21">
      <c r="A7" s="29" t="s">
        <v>46</v>
      </c>
      <c r="B7" s="47" t="s">
        <v>169</v>
      </c>
      <c r="C7" s="29" t="s">
        <v>170</v>
      </c>
      <c r="D7" s="29" t="s">
        <v>171</v>
      </c>
      <c r="E7" s="29" t="s">
        <v>10</v>
      </c>
      <c r="F7" s="29" t="s">
        <v>145</v>
      </c>
      <c r="G7" s="29" t="s">
        <v>16</v>
      </c>
      <c r="H7" s="33">
        <f t="shared" si="0"/>
        <v>1009.6</v>
      </c>
      <c r="I7" s="31">
        <f>(H6+H7)/H10</f>
        <v>0.25363489791721733</v>
      </c>
      <c r="J7" s="29" t="s">
        <v>53</v>
      </c>
      <c r="K7" s="31">
        <v>0.33800000000000002</v>
      </c>
      <c r="L7" s="33">
        <v>31.55</v>
      </c>
      <c r="M7" s="36">
        <v>32</v>
      </c>
      <c r="N7" s="33">
        <f>L7</f>
        <v>31.55</v>
      </c>
      <c r="O7" s="33">
        <v>31</v>
      </c>
      <c r="P7" s="33">
        <f>O7</f>
        <v>31</v>
      </c>
      <c r="Q7" s="33">
        <f t="shared" si="1"/>
        <v>992</v>
      </c>
      <c r="R7" s="31">
        <f>(Q6+Q7)/Q10</f>
        <v>0.24082431765569479</v>
      </c>
      <c r="S7" s="33"/>
      <c r="T7" s="31">
        <f t="shared" si="2"/>
        <v>-1.7432646592710006E-2</v>
      </c>
      <c r="U7" s="31"/>
    </row>
    <row r="8" spans="1:21">
      <c r="A8" s="29" t="s">
        <v>4</v>
      </c>
      <c r="B8" s="29" t="s">
        <v>172</v>
      </c>
      <c r="C8" s="29" t="s">
        <v>173</v>
      </c>
      <c r="D8" s="29" t="s">
        <v>174</v>
      </c>
      <c r="E8" s="29" t="s">
        <v>20</v>
      </c>
      <c r="F8" s="29" t="s">
        <v>21</v>
      </c>
      <c r="G8" s="29" t="s">
        <v>22</v>
      </c>
      <c r="H8" s="33">
        <f t="shared" si="0"/>
        <v>1049.92524</v>
      </c>
      <c r="I8" s="31">
        <f>(H8)/H10</f>
        <v>0.13285535011226032</v>
      </c>
      <c r="J8" s="29" t="s">
        <v>53</v>
      </c>
      <c r="K8" s="31">
        <v>0.47299999999999998</v>
      </c>
      <c r="L8" s="33">
        <v>154.31</v>
      </c>
      <c r="M8" s="36">
        <v>8</v>
      </c>
      <c r="N8" s="33">
        <f>L8*0.8505</f>
        <v>131.240655</v>
      </c>
      <c r="O8" s="33">
        <v>142.34</v>
      </c>
      <c r="P8" s="33">
        <f>O8*B20</f>
        <v>114.04280800000001</v>
      </c>
      <c r="Q8" s="33">
        <f t="shared" si="1"/>
        <v>912.34246400000006</v>
      </c>
      <c r="R8" s="31">
        <f>(Q8)/Q10</f>
        <v>0.11394152284514407</v>
      </c>
      <c r="S8" s="29"/>
      <c r="T8" s="31">
        <f t="shared" si="2"/>
        <v>-0.13104054532492235</v>
      </c>
      <c r="U8" s="31"/>
    </row>
    <row r="9" spans="1:21">
      <c r="A9" s="29" t="s">
        <v>17</v>
      </c>
      <c r="B9" s="29" t="s">
        <v>175</v>
      </c>
      <c r="C9" s="29" t="s">
        <v>176</v>
      </c>
      <c r="D9" s="29" t="s">
        <v>177</v>
      </c>
      <c r="E9" s="29" t="s">
        <v>20</v>
      </c>
      <c r="F9" s="29" t="s">
        <v>21</v>
      </c>
      <c r="G9" s="29" t="s">
        <v>22</v>
      </c>
      <c r="H9" s="33">
        <f t="shared" si="0"/>
        <v>993.94533000000001</v>
      </c>
      <c r="I9" s="31">
        <f>(H9)/H10</f>
        <v>0.12577176905433393</v>
      </c>
      <c r="J9" s="29" t="s">
        <v>53</v>
      </c>
      <c r="K9" s="31">
        <v>0.68</v>
      </c>
      <c r="L9" s="33">
        <v>16.46</v>
      </c>
      <c r="M9" s="36">
        <v>71</v>
      </c>
      <c r="N9" s="33">
        <f>L9*0.8505</f>
        <v>13.999230000000001</v>
      </c>
      <c r="O9" s="33">
        <v>14.02</v>
      </c>
      <c r="P9" s="33">
        <f>O9*B20</f>
        <v>11.232824000000001</v>
      </c>
      <c r="Q9" s="33">
        <f t="shared" si="1"/>
        <v>797.53050400000006</v>
      </c>
      <c r="R9" s="31">
        <f>(Q9)/Q10</f>
        <v>9.9602773878138012E-2</v>
      </c>
      <c r="S9" s="33"/>
      <c r="T9" s="31">
        <f t="shared" si="2"/>
        <v>-0.19761129719277412</v>
      </c>
      <c r="U9" s="31"/>
    </row>
    <row r="10" spans="1:21" s="4" customFormat="1">
      <c r="A10" s="10"/>
      <c r="B10" s="10"/>
      <c r="C10" s="10"/>
      <c r="D10" s="10"/>
      <c r="E10" s="10"/>
      <c r="F10" s="10"/>
      <c r="G10" s="10"/>
      <c r="H10" s="11">
        <f>SUM(H2:H9)</f>
        <v>7902.7697350000017</v>
      </c>
      <c r="I10" s="12">
        <f>SUM(I2:I9)</f>
        <v>0.99999999999999978</v>
      </c>
      <c r="J10" s="10"/>
      <c r="K10" s="12"/>
      <c r="L10" s="11"/>
      <c r="M10" s="19"/>
      <c r="N10" s="11"/>
      <c r="O10" s="11"/>
      <c r="P10" s="11"/>
      <c r="Q10" s="11">
        <f>SUM(Q2:Q9)</f>
        <v>8007.1113780000005</v>
      </c>
      <c r="R10" s="12">
        <f>SUM(R2:R9)</f>
        <v>0.99999999999999989</v>
      </c>
      <c r="S10" s="11"/>
      <c r="T10" s="12">
        <f t="shared" si="2"/>
        <v>1.3203173886983917E-2</v>
      </c>
      <c r="U10" s="12"/>
    </row>
    <row r="12" spans="1:21">
      <c r="A12" s="40" t="s">
        <v>72</v>
      </c>
      <c r="B12" s="40"/>
      <c r="C12" s="40"/>
      <c r="D12" s="40"/>
      <c r="E12" s="40"/>
      <c r="F12" s="40"/>
      <c r="G12" s="40"/>
      <c r="H12" s="41"/>
      <c r="I12" s="42"/>
      <c r="J12" s="40" t="s">
        <v>64</v>
      </c>
      <c r="K12" s="42"/>
      <c r="L12" s="41">
        <v>2010.9459999999999</v>
      </c>
      <c r="M12" s="43"/>
      <c r="N12" s="41"/>
      <c r="O12" s="41">
        <v>2213.23</v>
      </c>
      <c r="P12" s="41"/>
      <c r="Q12" s="41"/>
      <c r="R12" s="42"/>
      <c r="S12" s="41" t="s">
        <v>64</v>
      </c>
      <c r="T12" s="42">
        <f>(O12-L12)/L12</f>
        <v>0.10059146292342018</v>
      </c>
      <c r="U12" s="42"/>
    </row>
    <row r="15" spans="1:21">
      <c r="A15" s="35" t="s">
        <v>150</v>
      </c>
      <c r="B15" s="48">
        <v>43012</v>
      </c>
    </row>
    <row r="17" spans="1:2">
      <c r="A17" s="35" t="s">
        <v>151</v>
      </c>
      <c r="B17" s="49">
        <v>43131</v>
      </c>
    </row>
    <row r="20" spans="1:2">
      <c r="A20" s="35" t="s">
        <v>22</v>
      </c>
      <c r="B20" s="35">
        <f>'170830_langfr_Geldanlage'!B18</f>
        <v>0.80120000000000002</v>
      </c>
    </row>
    <row r="21" spans="1:2">
      <c r="A21" s="35" t="s">
        <v>130</v>
      </c>
      <c r="B21" s="35">
        <f>'170830_langfr_Geldanlage'!B19</f>
        <v>1.1406000000000001</v>
      </c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2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2" sqref="R2"/>
    </sheetView>
  </sheetViews>
  <sheetFormatPr baseColWidth="10" defaultRowHeight="15" x14ac:dyDescent="0"/>
  <cols>
    <col min="1" max="1" width="19" style="35" bestFit="1" customWidth="1"/>
    <col min="2" max="2" width="37.5" style="35" customWidth="1"/>
    <col min="3" max="3" width="19.83203125" style="35" bestFit="1" customWidth="1"/>
    <col min="4" max="4" width="12.33203125" style="35" bestFit="1" customWidth="1"/>
    <col min="5" max="5" width="9.5" style="35" bestFit="1" customWidth="1"/>
    <col min="6" max="6" width="11.33203125" style="35" bestFit="1" customWidth="1"/>
    <col min="7" max="7" width="8.83203125" style="35" bestFit="1" customWidth="1"/>
    <col min="8" max="8" width="10.33203125" style="44" customWidth="1"/>
    <col min="9" max="9" width="9.83203125" style="45" bestFit="1" customWidth="1"/>
    <col min="10" max="10" width="18.33203125" style="35" bestFit="1" customWidth="1"/>
    <col min="11" max="11" width="11.1640625" style="44" customWidth="1"/>
    <col min="12" max="12" width="7" style="46" bestFit="1" customWidth="1"/>
    <col min="13" max="13" width="8.33203125" style="44" bestFit="1" customWidth="1"/>
    <col min="14" max="16" width="10.5" style="44" customWidth="1"/>
    <col min="17" max="17" width="10.5" style="45" customWidth="1"/>
    <col min="18" max="18" width="18.33203125" style="44" bestFit="1" customWidth="1"/>
    <col min="19" max="19" width="11.83203125" style="45" customWidth="1"/>
    <col min="20" max="20" width="12.6640625" style="45" customWidth="1"/>
    <col min="21" max="16384" width="10.83203125" style="35"/>
  </cols>
  <sheetData>
    <row r="1" spans="1:20" ht="30">
      <c r="A1" s="29" t="s">
        <v>0</v>
      </c>
      <c r="B1" s="29" t="s">
        <v>2</v>
      </c>
      <c r="C1" s="29" t="s">
        <v>1</v>
      </c>
      <c r="D1" s="29" t="s">
        <v>56</v>
      </c>
      <c r="E1" s="29" t="s">
        <v>11</v>
      </c>
      <c r="F1" s="29" t="s">
        <v>12</v>
      </c>
      <c r="G1" s="29" t="s">
        <v>13</v>
      </c>
      <c r="H1" s="30" t="s">
        <v>179</v>
      </c>
      <c r="I1" s="31" t="s">
        <v>3</v>
      </c>
      <c r="J1" s="29" t="s">
        <v>51</v>
      </c>
      <c r="K1" s="30" t="s">
        <v>71</v>
      </c>
      <c r="L1" s="32" t="s">
        <v>73</v>
      </c>
      <c r="M1" s="33" t="s">
        <v>55</v>
      </c>
      <c r="N1" s="50" t="s">
        <v>193</v>
      </c>
      <c r="O1" s="50" t="s">
        <v>194</v>
      </c>
      <c r="P1" s="50" t="s">
        <v>195</v>
      </c>
      <c r="Q1" s="31" t="s">
        <v>3</v>
      </c>
      <c r="R1" s="29" t="s">
        <v>51</v>
      </c>
      <c r="S1" s="34" t="s">
        <v>70</v>
      </c>
      <c r="T1" s="34" t="s">
        <v>74</v>
      </c>
    </row>
    <row r="2" spans="1:20">
      <c r="A2" s="29" t="s">
        <v>4</v>
      </c>
      <c r="B2" s="29" t="s">
        <v>79</v>
      </c>
      <c r="C2" s="29" t="s">
        <v>180</v>
      </c>
      <c r="D2" s="29" t="s">
        <v>181</v>
      </c>
      <c r="E2" s="29" t="s">
        <v>10</v>
      </c>
      <c r="F2" s="29" t="s">
        <v>34</v>
      </c>
      <c r="G2" s="29" t="s">
        <v>130</v>
      </c>
      <c r="H2" s="33">
        <f t="shared" ref="H2:H5" si="0">L2*M2</f>
        <v>1014.3000000000001</v>
      </c>
      <c r="I2" s="31"/>
      <c r="J2" s="29" t="s">
        <v>60</v>
      </c>
      <c r="K2" s="33">
        <v>12.88</v>
      </c>
      <c r="L2" s="36">
        <v>70</v>
      </c>
      <c r="M2" s="33">
        <f>K2*1.125</f>
        <v>14.49</v>
      </c>
      <c r="N2" s="33">
        <v>12.58</v>
      </c>
      <c r="O2" s="33">
        <f>N2*B12</f>
        <v>14.348748000000001</v>
      </c>
      <c r="P2" s="33">
        <f t="shared" ref="P2:P5" si="1">L2*O2</f>
        <v>1004.41236</v>
      </c>
      <c r="Q2" s="31"/>
      <c r="R2" s="29"/>
      <c r="S2" s="31">
        <f t="shared" ref="S2:S6" si="2">(P2-H2)/H2</f>
        <v>-9.7482401656315016E-3</v>
      </c>
      <c r="T2" s="31"/>
    </row>
    <row r="3" spans="1:20">
      <c r="A3" s="29" t="s">
        <v>4</v>
      </c>
      <c r="B3" s="29" t="s">
        <v>182</v>
      </c>
      <c r="C3" s="37" t="s">
        <v>183</v>
      </c>
      <c r="D3" s="29" t="s">
        <v>184</v>
      </c>
      <c r="E3" s="29" t="s">
        <v>20</v>
      </c>
      <c r="F3" s="29" t="s">
        <v>21</v>
      </c>
      <c r="G3" s="29" t="s">
        <v>22</v>
      </c>
      <c r="H3" s="33">
        <f t="shared" si="0"/>
        <v>1043.18256</v>
      </c>
      <c r="I3" s="31">
        <f>(H2+H3)/H6</f>
        <v>0.50684319868071748</v>
      </c>
      <c r="J3" s="29" t="s">
        <v>60</v>
      </c>
      <c r="K3" s="33">
        <v>104.36</v>
      </c>
      <c r="L3" s="36">
        <v>12</v>
      </c>
      <c r="M3" s="33">
        <f>K3*0.833</f>
        <v>86.931879999999992</v>
      </c>
      <c r="N3" s="33">
        <v>100.7</v>
      </c>
      <c r="O3" s="33">
        <f>N3*B11</f>
        <v>80.680840000000003</v>
      </c>
      <c r="P3" s="33">
        <f t="shared" si="1"/>
        <v>968.1700800000001</v>
      </c>
      <c r="Q3" s="31">
        <f>(P2+P3)/P6</f>
        <v>0.5048096684981056</v>
      </c>
      <c r="R3" s="33"/>
      <c r="S3" s="31">
        <f t="shared" si="2"/>
        <v>-7.1907337101187616E-2</v>
      </c>
      <c r="T3" s="31"/>
    </row>
    <row r="4" spans="1:20">
      <c r="A4" s="29" t="s">
        <v>185</v>
      </c>
      <c r="B4" s="29" t="s">
        <v>186</v>
      </c>
      <c r="C4" s="37" t="s">
        <v>188</v>
      </c>
      <c r="D4" s="29" t="s">
        <v>187</v>
      </c>
      <c r="E4" s="29" t="s">
        <v>20</v>
      </c>
      <c r="F4" s="29" t="s">
        <v>21</v>
      </c>
      <c r="G4" s="29" t="s">
        <v>22</v>
      </c>
      <c r="H4" s="33">
        <f t="shared" si="0"/>
        <v>1000.32471</v>
      </c>
      <c r="I4" s="31">
        <f>(H4)/H6</f>
        <v>0.24642142081426008</v>
      </c>
      <c r="J4" s="29" t="s">
        <v>66</v>
      </c>
      <c r="K4" s="33">
        <v>36.39</v>
      </c>
      <c r="L4" s="36">
        <v>33</v>
      </c>
      <c r="M4" s="33">
        <f>K4*0.833</f>
        <v>30.31287</v>
      </c>
      <c r="N4" s="33">
        <v>34.49</v>
      </c>
      <c r="O4" s="33">
        <f>N4*B11</f>
        <v>27.633388000000004</v>
      </c>
      <c r="P4" s="33">
        <f t="shared" si="1"/>
        <v>911.90180400000008</v>
      </c>
      <c r="Q4" s="31">
        <f>(P4)/P6</f>
        <v>0.2333676088995624</v>
      </c>
      <c r="R4" s="33"/>
      <c r="S4" s="31">
        <f t="shared" si="2"/>
        <v>-8.8394203518175507E-2</v>
      </c>
      <c r="T4" s="31"/>
    </row>
    <row r="5" spans="1:20">
      <c r="A5" s="29" t="s">
        <v>189</v>
      </c>
      <c r="B5" s="29" t="s">
        <v>190</v>
      </c>
      <c r="C5" s="37" t="s">
        <v>191</v>
      </c>
      <c r="D5" s="29" t="s">
        <v>192</v>
      </c>
      <c r="E5" s="29" t="s">
        <v>20</v>
      </c>
      <c r="F5" s="29" t="s">
        <v>21</v>
      </c>
      <c r="G5" s="29" t="s">
        <v>22</v>
      </c>
      <c r="H5" s="33">
        <f t="shared" si="0"/>
        <v>1001.5992</v>
      </c>
      <c r="I5" s="31">
        <f>(H5)/H6</f>
        <v>0.24673538050502244</v>
      </c>
      <c r="J5" s="29" t="s">
        <v>60</v>
      </c>
      <c r="K5" s="33">
        <v>40.08</v>
      </c>
      <c r="L5" s="36">
        <v>30</v>
      </c>
      <c r="M5" s="33">
        <f>K5*0.833</f>
        <v>33.38664</v>
      </c>
      <c r="N5" s="33">
        <v>42.564999999999998</v>
      </c>
      <c r="O5" s="33">
        <f>N5*B11</f>
        <v>34.103077999999996</v>
      </c>
      <c r="P5" s="33">
        <f t="shared" si="1"/>
        <v>1023.0923399999999</v>
      </c>
      <c r="Q5" s="31">
        <f>(P5)/P6</f>
        <v>0.26182272260233191</v>
      </c>
      <c r="R5" s="33"/>
      <c r="S5" s="31">
        <f t="shared" si="2"/>
        <v>2.1458823050178082E-2</v>
      </c>
      <c r="T5" s="31"/>
    </row>
    <row r="6" spans="1:20" s="4" customFormat="1">
      <c r="A6" s="10"/>
      <c r="B6" s="10"/>
      <c r="C6" s="10"/>
      <c r="D6" s="10"/>
      <c r="E6" s="10"/>
      <c r="F6" s="10"/>
      <c r="G6" s="10"/>
      <c r="H6" s="11">
        <f>SUM(H2:H5)</f>
        <v>4059.4064699999999</v>
      </c>
      <c r="I6" s="12">
        <f>SUM(I2:I5)</f>
        <v>1</v>
      </c>
      <c r="J6" s="10"/>
      <c r="K6" s="11"/>
      <c r="L6" s="19"/>
      <c r="M6" s="11"/>
      <c r="N6" s="11"/>
      <c r="O6" s="11"/>
      <c r="P6" s="11">
        <f>SUM(P2:P5)</f>
        <v>3907.5765840000004</v>
      </c>
      <c r="Q6" s="12">
        <f>SUM(Q2:Q5)</f>
        <v>1</v>
      </c>
      <c r="R6" s="11"/>
      <c r="S6" s="12">
        <f t="shared" si="2"/>
        <v>-3.7401991429549933E-2</v>
      </c>
      <c r="T6" s="12"/>
    </row>
    <row r="8" spans="1:20">
      <c r="A8" s="40" t="s">
        <v>72</v>
      </c>
      <c r="B8" s="40"/>
      <c r="C8" s="40"/>
      <c r="D8" s="40"/>
      <c r="E8" s="40"/>
      <c r="F8" s="40"/>
      <c r="G8" s="40"/>
      <c r="H8" s="41"/>
      <c r="I8" s="42"/>
      <c r="J8" s="40" t="s">
        <v>64</v>
      </c>
      <c r="K8" s="41">
        <v>2103.44</v>
      </c>
      <c r="L8" s="43"/>
      <c r="M8" s="41"/>
      <c r="N8" s="41">
        <v>2213.23</v>
      </c>
      <c r="O8" s="41"/>
      <c r="P8" s="41"/>
      <c r="Q8" s="42"/>
      <c r="R8" s="41" t="s">
        <v>64</v>
      </c>
      <c r="S8" s="42">
        <f>(N8-K8)/K8</f>
        <v>5.2195451260791829E-2</v>
      </c>
      <c r="T8" s="42"/>
    </row>
    <row r="10" spans="1:20">
      <c r="A10" s="35" t="s">
        <v>117</v>
      </c>
    </row>
    <row r="11" spans="1:20">
      <c r="A11" s="35" t="s">
        <v>22</v>
      </c>
      <c r="B11" s="35">
        <f>'170830_langfr_Geldanlage'!B18</f>
        <v>0.80120000000000002</v>
      </c>
    </row>
    <row r="12" spans="1:20">
      <c r="A12" s="35" t="s">
        <v>130</v>
      </c>
      <c r="B12" s="35">
        <f>'170830_langfr_Geldanlage'!B19</f>
        <v>1.1406000000000001</v>
      </c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170830_langfr_Geldanlage</vt:lpstr>
      <vt:lpstr>171004_langfr_Geldanlage</vt:lpstr>
      <vt:lpstr>171004_Turnaroundwerte</vt:lpstr>
      <vt:lpstr>171004_abgestrafte_Werte</vt:lpstr>
      <vt:lpstr>171213_2018_Empfehlungsliste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2018-02-01T21:23:09Z</dcterms:modified>
</cp:coreProperties>
</file>