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 activeTab="5"/>
  </bookViews>
  <sheets>
    <sheet name="170830_langfr_Geldanlage" sheetId="1" r:id="rId1"/>
    <sheet name="171004_langfr_Geldanlage" sheetId="2" r:id="rId2"/>
    <sheet name="171004_Turnaroundwerte" sheetId="3" r:id="rId3"/>
    <sheet name="171004_abgestrafte_Werte" sheetId="4" r:id="rId4"/>
    <sheet name="171213_2018_Empfehlungsliste" sheetId="5" r:id="rId5"/>
    <sheet name="180302_langfr_Geldanlage" sheetId="6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O11" i="6"/>
  <c r="M11" i="6"/>
  <c r="H10" i="6"/>
  <c r="M10" i="6"/>
  <c r="O9" i="6"/>
  <c r="M9" i="6"/>
  <c r="M8" i="6"/>
  <c r="H9" i="6"/>
  <c r="T12" i="1"/>
  <c r="M7" i="6"/>
  <c r="O8" i="6"/>
  <c r="H8" i="6"/>
  <c r="H2" i="1"/>
  <c r="H3" i="1"/>
  <c r="M4" i="1"/>
  <c r="H4" i="1"/>
  <c r="H5" i="1"/>
  <c r="H6" i="1"/>
  <c r="H7" i="1"/>
  <c r="H8" i="1"/>
  <c r="H9" i="1"/>
  <c r="H10" i="1"/>
  <c r="H11" i="1"/>
  <c r="H12" i="1"/>
  <c r="O7" i="6"/>
  <c r="H7" i="6"/>
  <c r="O6" i="6"/>
  <c r="M6" i="6"/>
  <c r="H6" i="6"/>
  <c r="O5" i="6"/>
  <c r="M5" i="6"/>
  <c r="M4" i="6"/>
  <c r="M3" i="6"/>
  <c r="H5" i="6"/>
  <c r="H4" i="6"/>
  <c r="H3" i="6"/>
  <c r="H2" i="6"/>
  <c r="O2" i="6"/>
  <c r="M2" i="6"/>
  <c r="S14" i="6"/>
  <c r="P2" i="6"/>
  <c r="O3" i="6"/>
  <c r="P3" i="6"/>
  <c r="O4" i="6"/>
  <c r="P4" i="6"/>
  <c r="P5" i="6"/>
  <c r="P6" i="6"/>
  <c r="P7" i="6"/>
  <c r="P8" i="6"/>
  <c r="P9" i="6"/>
  <c r="O10" i="6"/>
  <c r="P10" i="6"/>
  <c r="P11" i="6"/>
  <c r="P12" i="6"/>
  <c r="H12" i="6"/>
  <c r="S12" i="6"/>
  <c r="I12" i="6"/>
  <c r="S11" i="6"/>
  <c r="S10" i="6"/>
  <c r="S9" i="6"/>
  <c r="S8" i="6"/>
  <c r="S7" i="6"/>
  <c r="S6" i="6"/>
  <c r="S5" i="6"/>
  <c r="S4" i="6"/>
  <c r="S3" i="6"/>
  <c r="S2" i="6"/>
  <c r="N8" i="5"/>
  <c r="O12" i="4"/>
  <c r="N13" i="3"/>
  <c r="N14" i="2"/>
  <c r="B12" i="5"/>
  <c r="B11" i="5"/>
  <c r="B18" i="4"/>
  <c r="B17" i="4"/>
  <c r="B19" i="3"/>
  <c r="B17" i="2"/>
  <c r="B18" i="3"/>
  <c r="M5" i="5"/>
  <c r="M4" i="5"/>
  <c r="M3" i="5"/>
  <c r="M2" i="5"/>
  <c r="O5" i="5"/>
  <c r="P5" i="5"/>
  <c r="O3" i="5"/>
  <c r="P3" i="5"/>
  <c r="O4" i="5"/>
  <c r="P4" i="5"/>
  <c r="O2" i="5"/>
  <c r="P2" i="5"/>
  <c r="P6" i="5"/>
  <c r="Q5" i="5"/>
  <c r="Q4" i="5"/>
  <c r="H5" i="5"/>
  <c r="H2" i="5"/>
  <c r="H3" i="5"/>
  <c r="H4" i="5"/>
  <c r="H6" i="5"/>
  <c r="I5" i="5"/>
  <c r="I4" i="5"/>
  <c r="S8" i="5"/>
  <c r="S6" i="5"/>
  <c r="Q3" i="5"/>
  <c r="Q6" i="5"/>
  <c r="I3" i="5"/>
  <c r="I6" i="5"/>
  <c r="S5" i="5"/>
  <c r="S4" i="5"/>
  <c r="S3" i="5"/>
  <c r="S2" i="5"/>
  <c r="O8" i="3"/>
  <c r="O7" i="1"/>
  <c r="P7" i="1"/>
  <c r="O8" i="1"/>
  <c r="P8" i="1"/>
  <c r="O9" i="1"/>
  <c r="P9" i="1"/>
  <c r="O10" i="1"/>
  <c r="P10" i="1"/>
  <c r="O5" i="1"/>
  <c r="P5" i="1"/>
  <c r="O6" i="1"/>
  <c r="P6" i="1"/>
  <c r="O11" i="1"/>
  <c r="P11" i="1"/>
  <c r="O2" i="1"/>
  <c r="P2" i="1"/>
  <c r="O3" i="1"/>
  <c r="P3" i="1"/>
  <c r="O4" i="1"/>
  <c r="P4" i="1"/>
  <c r="P12" i="1"/>
  <c r="R12" i="1"/>
  <c r="T12" i="4"/>
  <c r="P2" i="4"/>
  <c r="Q2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Q10" i="4"/>
  <c r="N2" i="4"/>
  <c r="H2" i="4"/>
  <c r="N3" i="4"/>
  <c r="H3" i="4"/>
  <c r="N4" i="4"/>
  <c r="H4" i="4"/>
  <c r="N5" i="4"/>
  <c r="H5" i="4"/>
  <c r="N6" i="4"/>
  <c r="H6" i="4"/>
  <c r="N7" i="4"/>
  <c r="H7" i="4"/>
  <c r="N8" i="4"/>
  <c r="H8" i="4"/>
  <c r="N9" i="4"/>
  <c r="H9" i="4"/>
  <c r="H10" i="4"/>
  <c r="T10" i="4"/>
  <c r="R3" i="4"/>
  <c r="R5" i="4"/>
  <c r="R7" i="4"/>
  <c r="R8" i="4"/>
  <c r="R9" i="4"/>
  <c r="R10" i="4"/>
  <c r="I3" i="4"/>
  <c r="I5" i="4"/>
  <c r="I7" i="4"/>
  <c r="I8" i="4"/>
  <c r="I9" i="4"/>
  <c r="I10" i="4"/>
  <c r="T9" i="4"/>
  <c r="T8" i="4"/>
  <c r="T7" i="4"/>
  <c r="T6" i="4"/>
  <c r="T5" i="4"/>
  <c r="T4" i="4"/>
  <c r="T3" i="4"/>
  <c r="T2" i="4"/>
  <c r="S13" i="3"/>
  <c r="O2" i="3"/>
  <c r="P2" i="3"/>
  <c r="O3" i="3"/>
  <c r="P3" i="3"/>
  <c r="O4" i="3"/>
  <c r="P4" i="3"/>
  <c r="O5" i="3"/>
  <c r="P5" i="3"/>
  <c r="O6" i="3"/>
  <c r="P6" i="3"/>
  <c r="O7" i="3"/>
  <c r="P7" i="3"/>
  <c r="P8" i="3"/>
  <c r="O9" i="3"/>
  <c r="P9" i="3"/>
  <c r="O10" i="3"/>
  <c r="P10" i="3"/>
  <c r="P11" i="3"/>
  <c r="M2" i="3"/>
  <c r="H2" i="3"/>
  <c r="M3" i="3"/>
  <c r="H3" i="3"/>
  <c r="M4" i="3"/>
  <c r="H4" i="3"/>
  <c r="M5" i="3"/>
  <c r="H5" i="3"/>
  <c r="M6" i="3"/>
  <c r="H6" i="3"/>
  <c r="M7" i="3"/>
  <c r="H7" i="3"/>
  <c r="M8" i="3"/>
  <c r="H8" i="3"/>
  <c r="M9" i="3"/>
  <c r="H9" i="3"/>
  <c r="M10" i="3"/>
  <c r="H10" i="3"/>
  <c r="H11" i="3"/>
  <c r="S11" i="3"/>
  <c r="Q3" i="3"/>
  <c r="Q5" i="3"/>
  <c r="Q7" i="3"/>
  <c r="Q8" i="3"/>
  <c r="Q9" i="3"/>
  <c r="Q10" i="3"/>
  <c r="Q11" i="3"/>
  <c r="I3" i="3"/>
  <c r="I5" i="3"/>
  <c r="I7" i="3"/>
  <c r="I8" i="3"/>
  <c r="I9" i="3"/>
  <c r="I10" i="3"/>
  <c r="I11" i="3"/>
  <c r="S10" i="3"/>
  <c r="S9" i="3"/>
  <c r="S8" i="3"/>
  <c r="S7" i="3"/>
  <c r="S6" i="3"/>
  <c r="S5" i="3"/>
  <c r="S4" i="3"/>
  <c r="S3" i="3"/>
  <c r="S2" i="3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R3" i="1"/>
  <c r="R4" i="1"/>
  <c r="R5" i="1"/>
  <c r="R6" i="1"/>
  <c r="R7" i="1"/>
  <c r="R8" i="1"/>
  <c r="R9" i="1"/>
  <c r="R10" i="1"/>
  <c r="R11" i="1"/>
  <c r="R2" i="1"/>
  <c r="R14" i="1"/>
  <c r="Q3" i="1"/>
  <c r="I3" i="1"/>
  <c r="Q5" i="1"/>
  <c r="I5" i="1"/>
  <c r="Q7" i="1"/>
  <c r="I7" i="1"/>
  <c r="Q9" i="1"/>
  <c r="I9" i="1"/>
  <c r="I10" i="1"/>
  <c r="Q10" i="1"/>
  <c r="Q11" i="1"/>
  <c r="I11" i="1"/>
  <c r="I12" i="1"/>
</calcChain>
</file>

<file path=xl/sharedStrings.xml><?xml version="1.0" encoding="utf-8"?>
<sst xmlns="http://schemas.openxmlformats.org/spreadsheetml/2006/main" count="586" uniqueCount="231">
  <si>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</si>
  <si>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</si>
  <si>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</si>
  <si>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</si>
  <si>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</si>
  <si>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</si>
  <si>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</si>
  <si>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</si>
  <si>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</si>
  <si>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</si>
  <si>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</si>
  <si>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</si>
  <si>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</si>
  <si>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</si>
  <si>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</si>
  <si>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</si>
  <si>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</si>
  <si>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</si>
  <si>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</si>
  <si>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</si>
  <si>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</si>
  <si>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</si>
  <si>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</si>
  <si>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</si>
  <si>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</si>
  <si>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</si>
  <si>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</si>
  <si>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</si>
  <si>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</si>
  <si>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</si>
  <si>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</si>
  <si>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</si>
  <si>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</si>
  <si>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</si>
  <si>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</si>
  <si>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</si>
  <si>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</si>
  <si>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</si>
  <si>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</si>
  <si>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</si>
  <si>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</si>
  <si>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</si>
  <si>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</si>
  <si>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</si>
  <si>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</si>
  <si>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</si>
  <si>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</si>
  <si>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</si>
  <si>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</si>
  <si>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</si>
  <si>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</si>
  <si>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</si>
  <si>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</si>
  <si>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</si>
  <si>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</si>
  <si>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</si>
  <si>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</si>
  <si>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</si>
  <si>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</si>
  <si>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</si>
  <si>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</si>
  <si>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</si>
  <si>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</si>
  <si>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</si>
  <si>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</si>
  <si>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</si>
  <si>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</si>
  <si>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</si>
  <si>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</si>
  <si>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</si>
  <si>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</si>
  <si>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</si>
  <si>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</si>
  <si>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</si>
  <si>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</si>
  <si>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</si>
  <si>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</si>
  <si>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scheme val="minor"/>
      </rPr>
      <t xml:space="preserve"> 30.08.2017</t>
    </r>
  </si>
  <si>
    <r>
      <t>Wert</t>
    </r>
    <r>
      <rPr>
        <sz val="12"/>
        <color theme="1"/>
        <rFont val="Calibri"/>
        <family val="2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</si>
  <si>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</si>
  <si>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</si>
  <si>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</si>
  <si>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</si>
  <si>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</si>
  <si>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</si>
  <si>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</si>
  <si>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</si>
  <si>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</si>
  <si>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</si>
  <si>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</si>
  <si>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</si>
  <si>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</si>
  <si>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</si>
  <si>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</si>
  <si>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</si>
  <si>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</si>
  <si>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</si>
  <si>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</si>
  <si>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</si>
  <si>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</si>
  <si>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</si>
  <si>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</si>
  <si>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</si>
  <si>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</si>
  <si>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</si>
  <si>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</si>
  <si>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</si>
  <si>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</si>
  <si>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</si>
  <si>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</si>
  <si>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</si>
  <si>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</si>
  <si>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</si>
  <si>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</si>
  <si>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</si>
  <si>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</si>
  <si>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</si>
  <si>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</si>
  <si>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Wert</t>
  </si>
  <si>
    <t>Biotechnologie Erforschung seltener Krankh.</t>
  </si>
  <si>
    <t>Alexion Pharmaceuticals</t>
  </si>
  <si>
    <t>899527 US</t>
  </si>
  <si>
    <t>Pharmazie Nahrungsergänzungsmittel</t>
  </si>
  <si>
    <t>Perrigo</t>
  </si>
  <si>
    <t>A1XAEY US</t>
  </si>
  <si>
    <t>Bekleidung Sport Freizeit Lifestyle</t>
  </si>
  <si>
    <t>Bekleidung Mode Handel</t>
  </si>
  <si>
    <t>Next</t>
  </si>
  <si>
    <t>779551 GB</t>
  </si>
  <si>
    <t>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</si>
  <si>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</si>
  <si>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</si>
  <si>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</si>
  <si>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</si>
  <si>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</si>
  <si>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</si>
  <si>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</si>
  <si>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</si>
  <si>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</si>
  <si>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</si>
  <si>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</si>
  <si>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</si>
  <si>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</si>
  <si>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</si>
  <si>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</si>
  <si>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</si>
  <si>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</si>
  <si>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</si>
  <si>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</si>
  <si>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r>
      <rPr>
        <sz val="12"/>
        <color theme="1"/>
        <rFont val="Calibri"/>
        <family val="2"/>
        <scheme val="minor"/>
      </rPr>
      <t>ATH</t>
    </r>
  </si>
  <si>
    <t>Beginn Musterdepot</t>
  </si>
  <si>
    <r>
      <t>Rückgang vom ATH in %</t>
    </r>
    <r>
      <rPr>
        <sz val="12"/>
        <color theme="1"/>
        <rFont val="Calibri"/>
        <family val="2"/>
        <scheme val="minor"/>
      </rPr>
      <t xml:space="preserve"> beim Erwerb</t>
    </r>
  </si>
  <si>
    <t>Telekommunikation Satellitenbetreiber</t>
  </si>
  <si>
    <t>SES Global</t>
  </si>
  <si>
    <t>914993 LU</t>
  </si>
  <si>
    <t>LU</t>
  </si>
  <si>
    <t>Software Healthcare-Informationstechnologie</t>
  </si>
  <si>
    <t>Athenahealth</t>
  </si>
  <si>
    <t>A0MWXF US</t>
  </si>
  <si>
    <t>Gastronomie Fast Food Hähnchen Burger</t>
  </si>
  <si>
    <t>Buffalo Wild Wings</t>
  </si>
  <si>
    <t>590096 US</t>
  </si>
  <si>
    <t>Gastronomie Restaurant Catering</t>
  </si>
  <si>
    <t>DO &amp; CO</t>
  </si>
  <si>
    <t>915210 AT</t>
  </si>
  <si>
    <t xml:space="preserve">Dienstleister Beratung Werbeagentur </t>
  </si>
  <si>
    <t>WPP</t>
  </si>
  <si>
    <t>A1J2BZ GB</t>
  </si>
  <si>
    <t>Immobilien Einkaufszentren gewerbl. Nutzung</t>
  </si>
  <si>
    <t>Deutsche Euroshop</t>
  </si>
  <si>
    <t>748020 DE</t>
  </si>
  <si>
    <t>Pharmazie seltene Krankheiten</t>
  </si>
  <si>
    <t>Shire</t>
  </si>
  <si>
    <t>913170 US</t>
  </si>
  <si>
    <t>Bekleidung Sport Fitness</t>
  </si>
  <si>
    <t>Under Amour</t>
  </si>
  <si>
    <t>A0HL4V US</t>
  </si>
  <si>
    <t>GBP (Britisches Pfund)</t>
  </si>
  <si>
    <t>Wert 31.12.2017</t>
  </si>
  <si>
    <t>Smith &amp; Nephew</t>
  </si>
  <si>
    <t>502816 GB</t>
  </si>
  <si>
    <t>Biotechnologie Biopharmazeutika</t>
  </si>
  <si>
    <t>Celgene</t>
  </si>
  <si>
    <t>881244 US</t>
  </si>
  <si>
    <t>Basiskonsum</t>
  </si>
  <si>
    <t>Lebebsnittel Hersteller u.a. Fleischprodukte</t>
  </si>
  <si>
    <t>850875 US</t>
  </si>
  <si>
    <t>Hormel Foods</t>
  </si>
  <si>
    <t>Rohstoffe</t>
  </si>
  <si>
    <t>Agrar Agribusiness</t>
  </si>
  <si>
    <t>Archer Daniels Midland</t>
  </si>
  <si>
    <t>854161 US</t>
  </si>
  <si>
    <t>Kurs aktuell</t>
  </si>
  <si>
    <t>Kurs in €  aktuell</t>
  </si>
  <si>
    <t>Wert aktuell</t>
  </si>
  <si>
    <t>Stand</t>
  </si>
  <si>
    <t>Dauer in Jahren</t>
  </si>
  <si>
    <t>Aufwärts ca. 3,4%</t>
  </si>
  <si>
    <t>Energie</t>
  </si>
  <si>
    <t>Versorger Betreiber Pipeline System</t>
  </si>
  <si>
    <t>Enbridge</t>
  </si>
  <si>
    <t>885427 CA</t>
  </si>
  <si>
    <r>
      <t>Wert</t>
    </r>
    <r>
      <rPr>
        <sz val="12"/>
        <color theme="1"/>
        <rFont val="Calibri"/>
        <family val="2"/>
        <scheme val="minor"/>
      </rPr>
      <t xml:space="preserve"> 02.03.2018</t>
    </r>
  </si>
  <si>
    <t>Finanzen</t>
  </si>
  <si>
    <t>Bank</t>
  </si>
  <si>
    <t>HDFC Bank</t>
  </si>
  <si>
    <t>694482 IND</t>
  </si>
  <si>
    <t>Indien</t>
  </si>
  <si>
    <t>knapp unter 200-T.</t>
  </si>
  <si>
    <t>Drogerie Reinigung Klebstoffe</t>
  </si>
  <si>
    <t>Henkel</t>
  </si>
  <si>
    <t>604843 DE</t>
  </si>
  <si>
    <t>Rational</t>
  </si>
  <si>
    <t>Cisco</t>
  </si>
  <si>
    <t>Constellation Brands</t>
  </si>
  <si>
    <t>871918 US</t>
  </si>
  <si>
    <t>Getränke Wein Bier Spirituosen</t>
  </si>
  <si>
    <t>Maschinenbau Küchen Groß- und Gewerbe</t>
  </si>
  <si>
    <t>701080 DE</t>
  </si>
  <si>
    <t>abwärts 5% unter 200-T.</t>
  </si>
  <si>
    <t>Großbritanien</t>
  </si>
  <si>
    <t>aktuell</t>
  </si>
  <si>
    <t>Währungen für Dividenden</t>
  </si>
  <si>
    <t>US$ (Mittelwert)</t>
  </si>
  <si>
    <t>Dividenden-rendite Mittelwert</t>
  </si>
  <si>
    <t>Dienstleister Analyseverfahren Labor</t>
  </si>
  <si>
    <t>Eurofins Scientific</t>
  </si>
  <si>
    <t>910251 FR</t>
  </si>
  <si>
    <t>Hardware Netzwerkausrüster</t>
  </si>
  <si>
    <t>878841 US</t>
  </si>
  <si>
    <t>aufwärts stark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</si>
</sst>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0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9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10" fontId="7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0" fontId="9" fillId="0" borderId="1" xfId="0" applyFont="1" applyBorder="1"/>
    <xf numFmtId="4" fontId="9" fillId="0" borderId="1" xfId="0" applyNumberFormat="1" applyFont="1" applyBorder="1"/>
    <xf numFmtId="10" fontId="9" fillId="0" borderId="1" xfId="0" applyNumberFormat="1" applyFont="1" applyBorder="1"/>
    <xf numFmtId="0" fontId="6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10" fontId="7" fillId="2" borderId="0" xfId="0" applyNumberFormat="1" applyFont="1" applyFill="1"/>
    <xf numFmtId="1" fontId="5" fillId="0" borderId="1" xfId="0" applyNumberFormat="1" applyFont="1" applyBorder="1" applyAlignment="1">
      <alignment wrapText="1"/>
    </xf>
    <xf numFmtId="1" fontId="7" fillId="0" borderId="1" xfId="0" applyNumberFormat="1" applyFont="1" applyBorder="1"/>
    <xf numFmtId="1" fontId="9" fillId="0" borderId="1" xfId="0" applyNumberFormat="1" applyFont="1" applyBorder="1"/>
    <xf numFmtId="1" fontId="7" fillId="2" borderId="0" xfId="0" applyNumberFormat="1" applyFont="1" applyFill="1"/>
    <xf numFmtId="1" fontId="7" fillId="0" borderId="0" xfId="0" applyNumberFormat="1" applyFont="1"/>
    <xf numFmtId="4" fontId="5" fillId="0" borderId="1" xfId="0" applyNumberFormat="1" applyFont="1" applyBorder="1"/>
    <xf numFmtId="10" fontId="5" fillId="0" borderId="1" xfId="0" applyNumberFormat="1" applyFont="1" applyBorder="1" applyAlignment="1">
      <alignment wrapText="1"/>
    </xf>
    <xf numFmtId="4" fontId="4" fillId="2" borderId="0" xfId="0" applyNumberFormat="1" applyFont="1" applyFill="1"/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0" fontId="4" fillId="2" borderId="0" xfId="0" applyFont="1" applyFill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10" fontId="2" fillId="0" borderId="1" xfId="0" applyNumberFormat="1" applyFont="1" applyBorder="1" applyAlignment="1">
      <alignment wrapText="1"/>
    </xf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Fill="1" applyBorder="1"/>
    <xf numFmtId="0" fontId="13" fillId="0" borderId="1" xfId="0" applyFont="1" applyBorder="1"/>
    <xf numFmtId="0" fontId="0" fillId="0" borderId="1" xfId="0" applyFont="1" applyBorder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10" fontId="2" fillId="2" borderId="0" xfId="0" applyNumberFormat="1" applyFont="1" applyFill="1"/>
    <xf numFmtId="1" fontId="2" fillId="2" borderId="0" xfId="0" applyNumberFormat="1" applyFont="1" applyFill="1"/>
    <xf numFmtId="4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0" fontId="0" fillId="0" borderId="1" xfId="0" applyFont="1" applyBorder="1"/>
    <xf numFmtId="15" fontId="2" fillId="0" borderId="0" xfId="0" applyNumberFormat="1" applyFont="1"/>
    <xf numFmtId="4" fontId="1" fillId="0" borderId="1" xfId="0" applyNumberFormat="1" applyFont="1" applyBorder="1" applyAlignment="1">
      <alignment wrapText="1"/>
    </xf>
    <xf numFmtId="0" fontId="1" fillId="0" borderId="0" xfId="0" applyFont="1"/>
    <xf numFmtId="14" fontId="7" fillId="0" borderId="0" xfId="0" applyNumberFormat="1" applyFont="1"/>
    <xf numFmtId="0" fontId="1" fillId="2" borderId="0" xfId="0" applyFont="1" applyFill="1"/>
    <xf numFmtId="0" fontId="1" fillId="0" borderId="1" xfId="0" applyFont="1" applyBorder="1"/>
    <xf numFmtId="4" fontId="1" fillId="0" borderId="0" xfId="0" applyNumberFormat="1" applyFont="1"/>
    <xf numFmtId="1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1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192</v>
      </c>
      <c r="O1" s="49" t="s">
        <v>193</v>
      </c>
      <c r="P1" s="49" t="s">
        <v>194</v>
      </c>
      <c r="Q1" s="7" t="s">
        <v>3</v>
      </c>
      <c r="R1" s="9" t="s">
        <v>70</v>
      </c>
      <c r="S1" s="23" t="s">
        <v>74</v>
      </c>
      <c r="T1" s="55" t="s">
        <v>224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39.520000000000003</v>
      </c>
      <c r="O2" s="6">
        <f>N2</f>
        <v>39.520000000000003</v>
      </c>
      <c r="P2" s="6">
        <f t="shared" ref="P2:P11" si="1">L2*O2</f>
        <v>869.44</v>
      </c>
      <c r="Q2" s="7"/>
      <c r="R2" s="7">
        <f>(P2-H2)/H2</f>
        <v>-0.12970711297071122</v>
      </c>
      <c r="S2" s="7"/>
      <c r="T2" s="7">
        <v>0.02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64.22</v>
      </c>
      <c r="O3" s="6">
        <f>N3</f>
        <v>64.22</v>
      </c>
      <c r="P3" s="6">
        <f t="shared" si="1"/>
        <v>1027.52</v>
      </c>
      <c r="Q3" s="7">
        <f>(P2+P3)/P12</f>
        <v>0.18906366971254157</v>
      </c>
      <c r="R3" s="7">
        <f>(P3-H3)/H3</f>
        <v>4.2532467532467491E-2</v>
      </c>
      <c r="S3" s="7"/>
      <c r="T3" s="7">
        <v>1.4999999999999999E-2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114.99</v>
      </c>
      <c r="O4" s="6">
        <f>N4</f>
        <v>114.99</v>
      </c>
      <c r="P4" s="6">
        <f t="shared" si="1"/>
        <v>1034.9099999999999</v>
      </c>
      <c r="Q4" s="7"/>
      <c r="R4" s="7">
        <f>(P4-H4)/H4</f>
        <v>1.5184956299108232E-2</v>
      </c>
      <c r="S4" s="7"/>
      <c r="T4" s="7">
        <v>0.01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19.5</v>
      </c>
      <c r="O5" s="6">
        <f>N5*B19</f>
        <v>21.81465</v>
      </c>
      <c r="P5" s="6">
        <f t="shared" si="1"/>
        <v>872.58600000000001</v>
      </c>
      <c r="Q5" s="7">
        <f>(P4+P5)/P12</f>
        <v>0.19011375765540345</v>
      </c>
      <c r="R5" s="7">
        <f>(P5-H5)/H5</f>
        <v>-0.12179347826086957</v>
      </c>
      <c r="S5" s="7"/>
      <c r="T5" s="7">
        <v>0.02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74.34</v>
      </c>
      <c r="O6" s="6">
        <f>N6*B21</f>
        <v>46.841633999999999</v>
      </c>
      <c r="P6" s="6">
        <f t="shared" si="1"/>
        <v>1124.199216</v>
      </c>
      <c r="Q6" s="7"/>
      <c r="R6" s="7">
        <f>(P6-H6)/H6</f>
        <v>0.11740539122137397</v>
      </c>
      <c r="S6" s="7"/>
      <c r="T6" s="7">
        <v>0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42.795000000000002</v>
      </c>
      <c r="O7" s="6">
        <f>N7*B18</f>
        <v>34.753819500000006</v>
      </c>
      <c r="P7" s="6">
        <f t="shared" si="1"/>
        <v>1112.1222240000002</v>
      </c>
      <c r="Q7" s="7">
        <f>(P6+P7)/P12</f>
        <v>0.22288669139214076</v>
      </c>
      <c r="R7" s="7">
        <f>(P7-H7)/H7</f>
        <v>0.12072942599161574</v>
      </c>
      <c r="S7" s="7"/>
      <c r="T7" s="7">
        <v>1.7500000000000002E-2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128.15</v>
      </c>
      <c r="O8" s="6">
        <f>N8*B18</f>
        <v>104.070615</v>
      </c>
      <c r="P8" s="6">
        <f t="shared" si="1"/>
        <v>936.635535</v>
      </c>
      <c r="Q8" s="7"/>
      <c r="R8" s="7">
        <f>(P8-H8)/H8</f>
        <v>-5.2956456456456441E-2</v>
      </c>
      <c r="S8" s="7"/>
      <c r="T8" s="7">
        <v>1.2E-2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65.209999999999994</v>
      </c>
      <c r="O9" s="6">
        <f>N9*B18</f>
        <v>52.957040999999997</v>
      </c>
      <c r="P9" s="6">
        <f t="shared" si="1"/>
        <v>1218.011943</v>
      </c>
      <c r="Q9" s="7">
        <f>(P8+P9)/P12</f>
        <v>0.21474652028906915</v>
      </c>
      <c r="R9" s="7">
        <f>(P9-H9)/H9</f>
        <v>0.19839422946367966</v>
      </c>
      <c r="S9" s="7"/>
      <c r="T9" s="7">
        <v>1.4999999999999999E-2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62.48</v>
      </c>
      <c r="O10" s="6">
        <f>N10*B18</f>
        <v>50.740008000000003</v>
      </c>
      <c r="P10" s="6">
        <f t="shared" si="1"/>
        <v>913.32014400000003</v>
      </c>
      <c r="Q10" s="7">
        <f>P10/P12</f>
        <v>9.1027569398947211E-2</v>
      </c>
      <c r="R10" s="7">
        <f>(P10-H10)/H10</f>
        <v>-5.4592733370598126E-2</v>
      </c>
      <c r="S10" s="7"/>
      <c r="T10" s="7">
        <v>0.04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254.5</v>
      </c>
      <c r="O11" s="6">
        <f>N11*B22</f>
        <v>24.991899999999998</v>
      </c>
      <c r="P11" s="6">
        <f t="shared" si="1"/>
        <v>924.70029999999986</v>
      </c>
      <c r="Q11" s="7">
        <f>P11/P12</f>
        <v>9.2161791551897812E-2</v>
      </c>
      <c r="R11" s="7">
        <f>(P11-H11)/H11</f>
        <v>-6.8161819537658638E-2</v>
      </c>
      <c r="S11" s="7"/>
      <c r="T11" s="7">
        <v>2.5999999999999999E-2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10033.445362</v>
      </c>
      <c r="Q12" s="12"/>
      <c r="R12" s="12">
        <f>(P12-H12)/H12</f>
        <v>7.3912267578864757E-3</v>
      </c>
      <c r="S12" s="12"/>
      <c r="T12" s="12">
        <f>AVERAGE(T2:T11)</f>
        <v>1.755E-2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2089.9699999999998</v>
      </c>
      <c r="O14" s="15"/>
      <c r="P14" s="15"/>
      <c r="Q14" s="16"/>
      <c r="R14" s="16">
        <f>(N14-K14)/K14</f>
        <v>7.3138796321494323E-2</v>
      </c>
      <c r="S14" s="16"/>
    </row>
    <row r="17" spans="1:2">
      <c r="A17" s="35" t="s">
        <v>117</v>
      </c>
      <c r="B17" s="50" t="s">
        <v>221</v>
      </c>
    </row>
    <row r="18" spans="1:2">
      <c r="A18" s="35" t="s">
        <v>22</v>
      </c>
      <c r="B18" s="35">
        <v>0.81210000000000004</v>
      </c>
    </row>
    <row r="19" spans="1:2">
      <c r="A19" s="35" t="s">
        <v>177</v>
      </c>
      <c r="B19" s="1">
        <v>1.1187</v>
      </c>
    </row>
    <row r="20" spans="1:2">
      <c r="A20" s="35" t="s">
        <v>31</v>
      </c>
      <c r="B20" s="35">
        <v>7.6E-3</v>
      </c>
    </row>
    <row r="21" spans="1:2">
      <c r="A21" s="35" t="s">
        <v>42</v>
      </c>
      <c r="B21" s="1">
        <v>0.63009999999999999</v>
      </c>
    </row>
    <row r="22" spans="1:2">
      <c r="A22" s="35" t="s">
        <v>50</v>
      </c>
      <c r="B22" s="35">
        <v>9.8199999999999996E-2</v>
      </c>
    </row>
    <row r="25" spans="1:2">
      <c r="A25" s="50" t="s">
        <v>195</v>
      </c>
      <c r="B25" s="51">
        <v>43161</v>
      </c>
    </row>
    <row r="26" spans="1:2">
      <c r="A26" s="50" t="s">
        <v>196</v>
      </c>
      <c r="B26" s="2">
        <v>0.5</v>
      </c>
    </row>
    <row r="29" spans="1:2">
      <c r="A29" s="50" t="s">
        <v>222</v>
      </c>
    </row>
    <row r="30" spans="1:2">
      <c r="A30" s="50" t="s">
        <v>223</v>
      </c>
      <c r="B30" s="54">
        <v>1.2</v>
      </c>
    </row>
    <row r="31" spans="1:2">
      <c r="A31" s="50"/>
    </row>
  </sheetData>
  <phoneticPr fontId="12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7" sqref="N7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192</v>
      </c>
      <c r="O1" s="49" t="s">
        <v>193</v>
      </c>
      <c r="P1" s="49" t="s">
        <v>194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80</v>
      </c>
      <c r="D2" s="29" t="s">
        <v>81</v>
      </c>
      <c r="E2" s="29" t="s">
        <v>10</v>
      </c>
      <c r="F2" s="29" t="s">
        <v>82</v>
      </c>
      <c r="G2" s="29" t="s">
        <v>83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508.9</v>
      </c>
      <c r="O2" s="33">
        <f>N2*B19</f>
        <v>68.243489999999994</v>
      </c>
      <c r="P2" s="33">
        <f t="shared" ref="P2:P11" si="1">L2*O2</f>
        <v>955.40885999999989</v>
      </c>
      <c r="Q2" s="31"/>
      <c r="R2" s="29"/>
      <c r="S2" s="31">
        <f t="shared" ref="S2:S12" si="2">(P2-H2)/H2</f>
        <v>-5.5233088962616396E-2</v>
      </c>
      <c r="T2" s="31"/>
    </row>
    <row r="3" spans="1:20">
      <c r="A3" s="29" t="s">
        <v>4</v>
      </c>
      <c r="B3" s="29" t="s">
        <v>79</v>
      </c>
      <c r="C3" s="37" t="s">
        <v>84</v>
      </c>
      <c r="D3" s="29" t="s">
        <v>85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370</v>
      </c>
      <c r="O3" s="33">
        <f>N3</f>
        <v>370</v>
      </c>
      <c r="P3" s="33">
        <f t="shared" si="1"/>
        <v>740</v>
      </c>
      <c r="Q3" s="31">
        <f>(P2+P3)/P12</f>
        <v>0.17631053969703053</v>
      </c>
      <c r="R3" s="33"/>
      <c r="S3" s="31">
        <f t="shared" si="2"/>
        <v>-0.11164679076400771</v>
      </c>
      <c r="T3" s="31"/>
    </row>
    <row r="4" spans="1:20">
      <c r="A4" s="29" t="s">
        <v>26</v>
      </c>
      <c r="B4" s="29" t="s">
        <v>86</v>
      </c>
      <c r="C4" s="37" t="s">
        <v>87</v>
      </c>
      <c r="D4" s="29" t="s">
        <v>88</v>
      </c>
      <c r="E4" s="29" t="s">
        <v>10</v>
      </c>
      <c r="F4" s="29" t="s">
        <v>89</v>
      </c>
      <c r="G4" s="29" t="s">
        <v>90</v>
      </c>
      <c r="H4" s="33">
        <f t="shared" si="0"/>
        <v>1204.6383600000001</v>
      </c>
      <c r="I4" s="31"/>
      <c r="J4" s="29" t="s">
        <v>91</v>
      </c>
      <c r="K4" s="33">
        <v>460.7</v>
      </c>
      <c r="L4" s="36">
        <v>3</v>
      </c>
      <c r="M4" s="33">
        <f>K4*0.8716</f>
        <v>401.54612000000003</v>
      </c>
      <c r="N4" s="33">
        <v>413.9</v>
      </c>
      <c r="O4" s="33">
        <f>N4*B18</f>
        <v>358.06488999999999</v>
      </c>
      <c r="P4" s="33">
        <f t="shared" si="1"/>
        <v>1074.1946699999999</v>
      </c>
      <c r="Q4" s="31"/>
      <c r="R4" s="33"/>
      <c r="S4" s="31">
        <f t="shared" si="2"/>
        <v>-0.1082845228338904</v>
      </c>
      <c r="T4" s="31"/>
    </row>
    <row r="5" spans="1:20">
      <c r="A5" s="29" t="s">
        <v>26</v>
      </c>
      <c r="B5" s="38" t="s">
        <v>92</v>
      </c>
      <c r="C5" s="37" t="s">
        <v>93</v>
      </c>
      <c r="D5" s="29" t="s">
        <v>94</v>
      </c>
      <c r="E5" s="29" t="s">
        <v>29</v>
      </c>
      <c r="F5" s="29" t="s">
        <v>95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50.91</v>
      </c>
      <c r="O5" s="33">
        <f>N5</f>
        <v>50.91</v>
      </c>
      <c r="P5" s="33">
        <f t="shared" si="1"/>
        <v>916.37999999999988</v>
      </c>
      <c r="Q5" s="31"/>
      <c r="R5" s="33"/>
      <c r="S5" s="31">
        <f t="shared" si="2"/>
        <v>-5.7972355346668517E-2</v>
      </c>
      <c r="T5" s="31"/>
    </row>
    <row r="6" spans="1:20">
      <c r="A6" s="29" t="s">
        <v>26</v>
      </c>
      <c r="B6" s="38" t="s">
        <v>96</v>
      </c>
      <c r="C6" s="37" t="s">
        <v>97</v>
      </c>
      <c r="D6" s="29" t="s">
        <v>98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284.42</v>
      </c>
      <c r="O6" s="33">
        <f>N6*B17</f>
        <v>230.97748200000004</v>
      </c>
      <c r="P6" s="33">
        <f t="shared" si="1"/>
        <v>923.90992800000015</v>
      </c>
      <c r="Q6" s="31">
        <f>(P4+P5+P6)/P12</f>
        <v>0.30308580103330535</v>
      </c>
      <c r="R6" s="33"/>
      <c r="S6" s="31">
        <f t="shared" si="2"/>
        <v>3.3718263098084435E-2</v>
      </c>
      <c r="T6" s="31"/>
    </row>
    <row r="7" spans="1:20">
      <c r="A7" s="29" t="s">
        <v>17</v>
      </c>
      <c r="B7" s="29" t="s">
        <v>99</v>
      </c>
      <c r="C7" s="37" t="s">
        <v>100</v>
      </c>
      <c r="D7" s="29" t="s">
        <v>101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1487.18</v>
      </c>
      <c r="O7" s="33">
        <f>N7*B17</f>
        <v>1207.7388780000001</v>
      </c>
      <c r="P7" s="33">
        <f t="shared" si="1"/>
        <v>1207.7388780000001</v>
      </c>
      <c r="Q7" s="31"/>
      <c r="R7" s="33"/>
      <c r="S7" s="31">
        <f t="shared" si="2"/>
        <v>0.46971015746700573</v>
      </c>
      <c r="T7" s="31"/>
    </row>
    <row r="8" spans="1:20">
      <c r="A8" s="29" t="s">
        <v>17</v>
      </c>
      <c r="B8" s="29" t="s">
        <v>102</v>
      </c>
      <c r="C8" s="37" t="s">
        <v>103</v>
      </c>
      <c r="D8" s="29" t="s">
        <v>104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49.67</v>
      </c>
      <c r="O8" s="33">
        <f>N8*B17</f>
        <v>40.337007000000007</v>
      </c>
      <c r="P8" s="33">
        <f t="shared" si="1"/>
        <v>1008.4251750000002</v>
      </c>
      <c r="Q8" s="31">
        <f>(P7+P8)/P12</f>
        <v>0.23046539950344994</v>
      </c>
      <c r="R8" s="33"/>
      <c r="S8" s="31">
        <f t="shared" si="2"/>
        <v>-3.8352472154892987E-3</v>
      </c>
      <c r="T8" s="31"/>
    </row>
    <row r="9" spans="1:20">
      <c r="A9" s="29" t="s">
        <v>38</v>
      </c>
      <c r="B9" s="38" t="s">
        <v>105</v>
      </c>
      <c r="C9" s="37" t="s">
        <v>106</v>
      </c>
      <c r="D9" s="29" t="s">
        <v>107</v>
      </c>
      <c r="E9" s="29" t="s">
        <v>29</v>
      </c>
      <c r="F9" s="29" t="s">
        <v>108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285.12599999999998</v>
      </c>
      <c r="O9" s="33">
        <f>N9*B17</f>
        <v>231.5508246</v>
      </c>
      <c r="P9" s="33">
        <f t="shared" si="1"/>
        <v>926.20329839999999</v>
      </c>
      <c r="Q9" s="31">
        <f>(P9)/P12</f>
        <v>9.631859739725189E-2</v>
      </c>
      <c r="R9" s="33"/>
      <c r="S9" s="31">
        <f t="shared" si="2"/>
        <v>5.3269312188848729E-3</v>
      </c>
      <c r="T9" s="31"/>
    </row>
    <row r="10" spans="1:20">
      <c r="A10" s="29" t="s">
        <v>46</v>
      </c>
      <c r="B10" s="29" t="s">
        <v>109</v>
      </c>
      <c r="C10" s="37" t="s">
        <v>110</v>
      </c>
      <c r="D10" s="29" t="s">
        <v>111</v>
      </c>
      <c r="E10" s="29" t="s">
        <v>10</v>
      </c>
      <c r="F10" s="29" t="s">
        <v>112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99.28</v>
      </c>
      <c r="O10" s="33">
        <f>N10</f>
        <v>99.28</v>
      </c>
      <c r="P10" s="33">
        <f t="shared" si="1"/>
        <v>992.8</v>
      </c>
      <c r="Q10" s="31">
        <f>(P10)/P12</f>
        <v>0.10324418371342703</v>
      </c>
      <c r="R10" s="33"/>
      <c r="S10" s="31">
        <f t="shared" si="2"/>
        <v>-6.1182033096926755E-2</v>
      </c>
      <c r="T10" s="31"/>
    </row>
    <row r="11" spans="1:20" ht="28">
      <c r="A11" s="29" t="s">
        <v>113</v>
      </c>
      <c r="B11" s="39" t="s">
        <v>114</v>
      </c>
      <c r="C11" s="37" t="s">
        <v>115</v>
      </c>
      <c r="D11" s="29" t="s">
        <v>116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42.9</v>
      </c>
      <c r="O11" s="33">
        <f>N11*B17</f>
        <v>34.839089999999999</v>
      </c>
      <c r="P11" s="33">
        <f t="shared" si="1"/>
        <v>870.97724999999991</v>
      </c>
      <c r="Q11" s="31">
        <f>(P11)/P12</f>
        <v>9.0575478655535321E-2</v>
      </c>
      <c r="R11" s="33"/>
      <c r="S11" s="31">
        <f t="shared" si="2"/>
        <v>-0.12937154552457431</v>
      </c>
      <c r="T11" s="31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9616.0380593999998</v>
      </c>
      <c r="Q12" s="12">
        <f>SUM(Q2:Q11)</f>
        <v>1</v>
      </c>
      <c r="R12" s="11"/>
      <c r="S12" s="12">
        <f t="shared" si="2"/>
        <v>-1.1581270660430456E-2</v>
      </c>
      <c r="T12" s="12"/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f>'170830_langfr_Geldanlage'!N14</f>
        <v>2089.9699999999998</v>
      </c>
      <c r="O14" s="41"/>
      <c r="P14" s="41"/>
      <c r="Q14" s="42"/>
      <c r="R14" s="41" t="s">
        <v>64</v>
      </c>
      <c r="S14" s="42">
        <f>(N14-K14)/K14</f>
        <v>3.9296927913529199E-2</v>
      </c>
      <c r="T14" s="42"/>
    </row>
    <row r="16" spans="1:20">
      <c r="A16" s="35" t="s">
        <v>117</v>
      </c>
    </row>
    <row r="17" spans="1:2">
      <c r="A17" s="35" t="s">
        <v>22</v>
      </c>
      <c r="B17" s="35">
        <f>'170830_langfr_Geldanlage'!B18</f>
        <v>0.81210000000000004</v>
      </c>
    </row>
    <row r="18" spans="1:2">
      <c r="A18" s="35" t="s">
        <v>90</v>
      </c>
      <c r="B18" s="35">
        <v>0.86509999999999998</v>
      </c>
    </row>
    <row r="19" spans="1:2">
      <c r="A19" s="35" t="s">
        <v>83</v>
      </c>
      <c r="B19" s="35">
        <v>0.1341</v>
      </c>
    </row>
    <row r="22" spans="1:2">
      <c r="A22" s="50" t="s">
        <v>195</v>
      </c>
      <c r="B22" s="51">
        <v>43161</v>
      </c>
    </row>
    <row r="23" spans="1:2">
      <c r="A23" s="50" t="s">
        <v>196</v>
      </c>
      <c r="B23" s="35">
        <v>0.42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1" sqref="A21:B22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192</v>
      </c>
      <c r="O1" s="49" t="s">
        <v>193</v>
      </c>
      <c r="P1" s="49" t="s">
        <v>194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119</v>
      </c>
      <c r="C2" s="47" t="s">
        <v>120</v>
      </c>
      <c r="D2" s="29" t="s">
        <v>121</v>
      </c>
      <c r="E2" s="29" t="s">
        <v>20</v>
      </c>
      <c r="F2" s="29" t="s">
        <v>21</v>
      </c>
      <c r="G2" s="29" t="s">
        <v>22</v>
      </c>
      <c r="H2" s="33">
        <f t="shared" ref="H2:H10" si="0">L2*M2</f>
        <v>965.55564000000004</v>
      </c>
      <c r="I2" s="31"/>
      <c r="J2" s="29" t="s">
        <v>66</v>
      </c>
      <c r="K2" s="33">
        <v>141.91</v>
      </c>
      <c r="L2" s="36">
        <v>8</v>
      </c>
      <c r="M2" s="33">
        <f>K2*0.8505</f>
        <v>120.694455</v>
      </c>
      <c r="N2" s="33">
        <v>117.38500000000001</v>
      </c>
      <c r="O2" s="33">
        <f>N2*B18</f>
        <v>95.328358500000007</v>
      </c>
      <c r="P2" s="33">
        <f t="shared" ref="P2:P10" si="1">L2*O2</f>
        <v>762.62686800000006</v>
      </c>
      <c r="Q2" s="31"/>
      <c r="R2" s="29"/>
      <c r="S2" s="31">
        <f t="shared" ref="S2:S11" si="2">(P2-H2)/H2</f>
        <v>-0.21016786976667651</v>
      </c>
      <c r="T2" s="31"/>
    </row>
    <row r="3" spans="1:20">
      <c r="A3" s="29" t="s">
        <v>4</v>
      </c>
      <c r="B3" s="29" t="s">
        <v>122</v>
      </c>
      <c r="C3" s="29" t="s">
        <v>123</v>
      </c>
      <c r="D3" s="29" t="s">
        <v>124</v>
      </c>
      <c r="E3" s="29" t="s">
        <v>20</v>
      </c>
      <c r="F3" s="29" t="s">
        <v>21</v>
      </c>
      <c r="G3" s="29" t="s">
        <v>22</v>
      </c>
      <c r="H3" s="33">
        <f t="shared" si="0"/>
        <v>1031.7415500000002</v>
      </c>
      <c r="I3" s="31">
        <f>(H2+H3)/H11</f>
        <v>0.21980517214909601</v>
      </c>
      <c r="J3" s="29" t="s">
        <v>75</v>
      </c>
      <c r="K3" s="33">
        <v>86.65</v>
      </c>
      <c r="L3" s="36">
        <v>14</v>
      </c>
      <c r="M3" s="33">
        <f>K3*0.8505</f>
        <v>73.695825000000013</v>
      </c>
      <c r="N3" s="33">
        <v>83.02</v>
      </c>
      <c r="O3" s="33">
        <f>N3*B18</f>
        <v>67.420541999999998</v>
      </c>
      <c r="P3" s="33">
        <f t="shared" si="1"/>
        <v>943.88758799999994</v>
      </c>
      <c r="Q3" s="31">
        <f>(P2+P3)/P11</f>
        <v>0.19886798579656767</v>
      </c>
      <c r="R3" s="33"/>
      <c r="S3" s="31">
        <f t="shared" si="2"/>
        <v>-8.5151133052652803E-2</v>
      </c>
      <c r="T3" s="31"/>
    </row>
    <row r="4" spans="1:20">
      <c r="A4" s="29" t="s">
        <v>17</v>
      </c>
      <c r="B4" s="29" t="s">
        <v>125</v>
      </c>
      <c r="C4" s="29" t="s">
        <v>24</v>
      </c>
      <c r="D4" s="29" t="s">
        <v>67</v>
      </c>
      <c r="E4" s="29" t="s">
        <v>20</v>
      </c>
      <c r="F4" s="29" t="s">
        <v>21</v>
      </c>
      <c r="G4" s="29" t="s">
        <v>22</v>
      </c>
      <c r="H4" s="33">
        <f t="shared" si="0"/>
        <v>975.03021000000001</v>
      </c>
      <c r="I4" s="31"/>
      <c r="J4" s="29" t="s">
        <v>54</v>
      </c>
      <c r="K4" s="33">
        <v>52.11</v>
      </c>
      <c r="L4" s="36">
        <v>22</v>
      </c>
      <c r="M4" s="33">
        <f>K4*0.8505</f>
        <v>44.319555000000001</v>
      </c>
      <c r="N4" s="33">
        <v>65.13</v>
      </c>
      <c r="O4" s="33">
        <f>N4*B18</f>
        <v>52.892072999999996</v>
      </c>
      <c r="P4" s="33">
        <f t="shared" si="1"/>
        <v>1163.6256059999998</v>
      </c>
      <c r="Q4" s="31"/>
      <c r="R4" s="33"/>
      <c r="S4" s="31">
        <f t="shared" si="2"/>
        <v>0.19342518217973967</v>
      </c>
      <c r="T4" s="31"/>
    </row>
    <row r="5" spans="1:20">
      <c r="A5" s="29" t="s">
        <v>17</v>
      </c>
      <c r="B5" s="29" t="s">
        <v>126</v>
      </c>
      <c r="C5" s="29" t="s">
        <v>127</v>
      </c>
      <c r="D5" s="29" t="s">
        <v>128</v>
      </c>
      <c r="E5" s="29" t="s">
        <v>10</v>
      </c>
      <c r="F5" s="29" t="s">
        <v>129</v>
      </c>
      <c r="G5" s="29" t="s">
        <v>130</v>
      </c>
      <c r="H5" s="33">
        <f t="shared" si="0"/>
        <v>1003.5520749999999</v>
      </c>
      <c r="I5" s="31">
        <f>(H4+H5)/H11</f>
        <v>0.21774557233797373</v>
      </c>
      <c r="J5" s="29" t="s">
        <v>66</v>
      </c>
      <c r="K5" s="33">
        <v>52.45</v>
      </c>
      <c r="L5" s="36">
        <v>17</v>
      </c>
      <c r="M5" s="33">
        <f>K5*1.1255</f>
        <v>59.032474999999998</v>
      </c>
      <c r="N5" s="33">
        <v>46.8</v>
      </c>
      <c r="O5" s="33">
        <f>N5*B19</f>
        <v>52.355159999999998</v>
      </c>
      <c r="P5" s="33">
        <f t="shared" si="1"/>
        <v>890.03771999999992</v>
      </c>
      <c r="Q5" s="31">
        <f>(P4+P5)/P11</f>
        <v>0.23932284177843491</v>
      </c>
      <c r="R5" s="33"/>
      <c r="S5" s="31">
        <f t="shared" si="2"/>
        <v>-0.11311257066555319</v>
      </c>
      <c r="T5" s="31"/>
    </row>
    <row r="6" spans="1:20">
      <c r="A6" s="29" t="s">
        <v>46</v>
      </c>
      <c r="B6" s="38" t="s">
        <v>131</v>
      </c>
      <c r="C6" s="29" t="s">
        <v>132</v>
      </c>
      <c r="D6" s="29" t="s">
        <v>133</v>
      </c>
      <c r="E6" s="29" t="s">
        <v>20</v>
      </c>
      <c r="F6" s="29" t="s">
        <v>21</v>
      </c>
      <c r="G6" s="29" t="s">
        <v>22</v>
      </c>
      <c r="H6" s="33">
        <f t="shared" si="0"/>
        <v>1091.0214000000001</v>
      </c>
      <c r="I6" s="31"/>
      <c r="J6" s="29" t="s">
        <v>134</v>
      </c>
      <c r="K6" s="33">
        <v>213.8</v>
      </c>
      <c r="L6" s="36">
        <v>6</v>
      </c>
      <c r="M6" s="33">
        <f>K6*0.8505</f>
        <v>181.83690000000001</v>
      </c>
      <c r="N6" s="33">
        <v>194.08</v>
      </c>
      <c r="O6" s="33">
        <f>N6*B18</f>
        <v>157.61236800000003</v>
      </c>
      <c r="P6" s="33">
        <f t="shared" si="1"/>
        <v>945.67420800000014</v>
      </c>
      <c r="Q6" s="31"/>
      <c r="R6" s="33"/>
      <c r="S6" s="31">
        <f t="shared" si="2"/>
        <v>-0.13322121087634023</v>
      </c>
      <c r="T6" s="31"/>
    </row>
    <row r="7" spans="1:20">
      <c r="A7" s="29" t="s">
        <v>46</v>
      </c>
      <c r="B7" s="29" t="s">
        <v>135</v>
      </c>
      <c r="C7" s="29" t="s">
        <v>136</v>
      </c>
      <c r="D7" s="29" t="s">
        <v>137</v>
      </c>
      <c r="E7" s="29" t="s">
        <v>20</v>
      </c>
      <c r="F7" s="29" t="s">
        <v>21</v>
      </c>
      <c r="G7" s="29" t="s">
        <v>22</v>
      </c>
      <c r="H7" s="33">
        <f t="shared" si="0"/>
        <v>997.44938999999999</v>
      </c>
      <c r="I7" s="31">
        <f>(H6+H7)/H11</f>
        <v>0.22983894626332926</v>
      </c>
      <c r="J7" s="29" t="s">
        <v>134</v>
      </c>
      <c r="K7" s="33">
        <v>83.77</v>
      </c>
      <c r="L7" s="36">
        <v>14</v>
      </c>
      <c r="M7" s="33">
        <f>K7*0.8505</f>
        <v>71.246385000000004</v>
      </c>
      <c r="N7" s="33">
        <v>100.68</v>
      </c>
      <c r="O7" s="33">
        <f>N7*B18</f>
        <v>81.762228000000007</v>
      </c>
      <c r="P7" s="33">
        <f t="shared" si="1"/>
        <v>1144.671192</v>
      </c>
      <c r="Q7" s="31">
        <f>(P6+P7)/P11</f>
        <v>0.24359757273402236</v>
      </c>
      <c r="R7" s="33"/>
      <c r="S7" s="31">
        <f t="shared" si="2"/>
        <v>0.14759826761736755</v>
      </c>
      <c r="T7" s="31"/>
    </row>
    <row r="8" spans="1:20">
      <c r="A8" s="29" t="s">
        <v>26</v>
      </c>
      <c r="B8" s="29" t="s">
        <v>138</v>
      </c>
      <c r="C8" s="29" t="s">
        <v>139</v>
      </c>
      <c r="D8" s="29" t="s">
        <v>140</v>
      </c>
      <c r="E8" s="29" t="s">
        <v>10</v>
      </c>
      <c r="F8" s="29" t="s">
        <v>141</v>
      </c>
      <c r="G8" s="29" t="s">
        <v>16</v>
      </c>
      <c r="H8" s="33">
        <f t="shared" si="0"/>
        <v>1006.02</v>
      </c>
      <c r="I8" s="31">
        <f>(H8)/H11</f>
        <v>0.11071381885108121</v>
      </c>
      <c r="J8" s="29" t="s">
        <v>134</v>
      </c>
      <c r="K8" s="33">
        <v>55.89</v>
      </c>
      <c r="L8" s="36">
        <v>18</v>
      </c>
      <c r="M8" s="33">
        <f>K8</f>
        <v>55.89</v>
      </c>
      <c r="N8" s="33">
        <v>52.8</v>
      </c>
      <c r="O8" s="33">
        <f>N8</f>
        <v>52.8</v>
      </c>
      <c r="P8" s="33">
        <f t="shared" si="1"/>
        <v>950.4</v>
      </c>
      <c r="Q8" s="31">
        <f>(P8)/P11</f>
        <v>0.11075448733324877</v>
      </c>
      <c r="R8" s="33"/>
      <c r="S8" s="31">
        <f t="shared" si="2"/>
        <v>-5.5287171229200217E-2</v>
      </c>
      <c r="T8" s="31"/>
    </row>
    <row r="9" spans="1:20">
      <c r="A9" s="29" t="s">
        <v>38</v>
      </c>
      <c r="B9" s="38" t="s">
        <v>142</v>
      </c>
      <c r="C9" s="29" t="s">
        <v>143</v>
      </c>
      <c r="D9" s="29" t="s">
        <v>144</v>
      </c>
      <c r="E9" s="29" t="s">
        <v>10</v>
      </c>
      <c r="F9" s="29" t="s">
        <v>145</v>
      </c>
      <c r="G9" s="29" t="s">
        <v>16</v>
      </c>
      <c r="H9" s="33">
        <f t="shared" si="0"/>
        <v>1008.28</v>
      </c>
      <c r="I9" s="31">
        <f>(H9)/H11</f>
        <v>0.11096253481160231</v>
      </c>
      <c r="J9" s="29" t="s">
        <v>75</v>
      </c>
      <c r="K9" s="33">
        <v>19.39</v>
      </c>
      <c r="L9" s="36">
        <v>52</v>
      </c>
      <c r="M9" s="33">
        <f>K9</f>
        <v>19.39</v>
      </c>
      <c r="N9" s="33">
        <v>17.55</v>
      </c>
      <c r="O9" s="33">
        <f>N9</f>
        <v>17.55</v>
      </c>
      <c r="P9" s="33">
        <f t="shared" si="1"/>
        <v>912.6</v>
      </c>
      <c r="Q9" s="31">
        <f>(P9)/P11</f>
        <v>0.10634947931431274</v>
      </c>
      <c r="R9" s="33"/>
      <c r="S9" s="31">
        <f t="shared" si="2"/>
        <v>-9.4894275399690517E-2</v>
      </c>
      <c r="T9" s="31"/>
    </row>
    <row r="10" spans="1:20">
      <c r="A10" s="29" t="s">
        <v>113</v>
      </c>
      <c r="B10" s="29" t="s">
        <v>146</v>
      </c>
      <c r="C10" s="29" t="s">
        <v>147</v>
      </c>
      <c r="D10" s="29" t="s">
        <v>148</v>
      </c>
      <c r="E10" s="29" t="s">
        <v>10</v>
      </c>
      <c r="F10" s="29" t="s">
        <v>129</v>
      </c>
      <c r="G10" s="29" t="s">
        <v>130</v>
      </c>
      <c r="H10" s="33">
        <f t="shared" si="0"/>
        <v>1008.0203099999999</v>
      </c>
      <c r="I10" s="31">
        <f>(H10)/H11</f>
        <v>0.11093395558691747</v>
      </c>
      <c r="J10" s="29" t="s">
        <v>66</v>
      </c>
      <c r="K10" s="33">
        <v>9.7349999999999994</v>
      </c>
      <c r="L10" s="36">
        <v>92</v>
      </c>
      <c r="M10" s="33">
        <f>K10*1.1255</f>
        <v>10.956742499999999</v>
      </c>
      <c r="N10" s="33">
        <v>8.43</v>
      </c>
      <c r="O10" s="33">
        <f>N10*B19</f>
        <v>9.4306409999999996</v>
      </c>
      <c r="P10" s="33">
        <f t="shared" si="1"/>
        <v>867.61897199999999</v>
      </c>
      <c r="Q10" s="31">
        <f>(P10)/P11</f>
        <v>0.10110763304341364</v>
      </c>
      <c r="R10" s="33"/>
      <c r="S10" s="31">
        <f t="shared" si="2"/>
        <v>-0.13928423525514075</v>
      </c>
      <c r="T10" s="31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8581.1421539999992</v>
      </c>
      <c r="Q11" s="12">
        <f>SUM(Q2:Q10)</f>
        <v>1</v>
      </c>
      <c r="R11" s="11"/>
      <c r="S11" s="12">
        <f t="shared" si="2"/>
        <v>-5.5634064955634298E-2</v>
      </c>
      <c r="T11" s="12"/>
    </row>
    <row r="13" spans="1:20">
      <c r="A13" s="40" t="s">
        <v>72</v>
      </c>
      <c r="B13" s="40"/>
      <c r="C13" s="40"/>
      <c r="D13" s="40"/>
      <c r="E13" s="40"/>
      <c r="F13" s="40"/>
      <c r="G13" s="40"/>
      <c r="H13" s="41"/>
      <c r="I13" s="42"/>
      <c r="J13" s="40" t="s">
        <v>64</v>
      </c>
      <c r="K13" s="41">
        <v>2010.9459999999999</v>
      </c>
      <c r="L13" s="43"/>
      <c r="M13" s="41"/>
      <c r="N13" s="41">
        <f>'170830_langfr_Geldanlage'!N14</f>
        <v>2089.9699999999998</v>
      </c>
      <c r="O13" s="41"/>
      <c r="P13" s="41"/>
      <c r="Q13" s="42"/>
      <c r="R13" s="41" t="s">
        <v>149</v>
      </c>
      <c r="S13" s="42">
        <f>(N13-K13)/K13</f>
        <v>3.9296927913529199E-2</v>
      </c>
      <c r="T13" s="42"/>
    </row>
    <row r="16" spans="1:20">
      <c r="A16" s="35" t="s">
        <v>150</v>
      </c>
      <c r="B16" s="48">
        <v>43012</v>
      </c>
    </row>
    <row r="18" spans="1:2">
      <c r="A18" s="35" t="s">
        <v>22</v>
      </c>
      <c r="B18" s="35">
        <f>'171004_langfr_Geldanlage'!B17</f>
        <v>0.81210000000000004</v>
      </c>
    </row>
    <row r="19" spans="1:2">
      <c r="A19" s="35" t="s">
        <v>130</v>
      </c>
      <c r="B19" s="35">
        <f>'170830_langfr_Geldanlage'!B19</f>
        <v>1.1187</v>
      </c>
    </row>
    <row r="21" spans="1:2">
      <c r="A21" s="50" t="s">
        <v>195</v>
      </c>
      <c r="B21" s="51">
        <v>43161</v>
      </c>
    </row>
    <row r="22" spans="1:2">
      <c r="A22" s="50" t="s">
        <v>196</v>
      </c>
      <c r="B22" s="35">
        <v>0.42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:Q1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5.16406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3.1640625" style="45" customWidth="1"/>
    <col min="12" max="12" width="11.1640625" style="44" customWidth="1"/>
    <col min="13" max="13" width="7" style="46" bestFit="1" customWidth="1"/>
    <col min="14" max="14" width="8.33203125" style="44" bestFit="1" customWidth="1"/>
    <col min="15" max="17" width="10.5" style="44" customWidth="1"/>
    <col min="18" max="18" width="10.5" style="45" customWidth="1"/>
    <col min="19" max="19" width="18.33203125" style="44" bestFit="1" customWidth="1"/>
    <col min="20" max="20" width="11.83203125" style="45" customWidth="1"/>
    <col min="21" max="21" width="12.6640625" style="45" customWidth="1"/>
    <col min="22" max="16384" width="10.83203125" style="35"/>
  </cols>
  <sheetData>
    <row r="1" spans="1:21" ht="45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4" t="s">
        <v>151</v>
      </c>
      <c r="L1" s="30" t="s">
        <v>71</v>
      </c>
      <c r="M1" s="32" t="s">
        <v>73</v>
      </c>
      <c r="N1" s="33" t="s">
        <v>55</v>
      </c>
      <c r="O1" s="49" t="s">
        <v>192</v>
      </c>
      <c r="P1" s="49" t="s">
        <v>193</v>
      </c>
      <c r="Q1" s="49" t="s">
        <v>194</v>
      </c>
      <c r="R1" s="31" t="s">
        <v>3</v>
      </c>
      <c r="S1" s="29" t="s">
        <v>51</v>
      </c>
      <c r="T1" s="34" t="s">
        <v>70</v>
      </c>
      <c r="U1" s="34" t="s">
        <v>74</v>
      </c>
    </row>
    <row r="2" spans="1:21">
      <c r="A2" s="29" t="s">
        <v>38</v>
      </c>
      <c r="B2" s="29" t="s">
        <v>152</v>
      </c>
      <c r="C2" s="29" t="s">
        <v>153</v>
      </c>
      <c r="D2" s="29" t="s">
        <v>154</v>
      </c>
      <c r="E2" s="29" t="s">
        <v>10</v>
      </c>
      <c r="F2" s="29" t="s">
        <v>155</v>
      </c>
      <c r="G2" s="29" t="s">
        <v>16</v>
      </c>
      <c r="H2" s="33">
        <f t="shared" ref="H2:H9" si="0">M2*N2</f>
        <v>1003.3199999999999</v>
      </c>
      <c r="I2" s="31"/>
      <c r="J2" s="29" t="s">
        <v>60</v>
      </c>
      <c r="K2" s="31">
        <v>0.46500000000000002</v>
      </c>
      <c r="L2" s="33">
        <v>18.579999999999998</v>
      </c>
      <c r="M2" s="36">
        <v>54</v>
      </c>
      <c r="N2" s="33">
        <f>L2</f>
        <v>18.579999999999998</v>
      </c>
      <c r="O2" s="33">
        <v>13.025</v>
      </c>
      <c r="P2" s="33">
        <f>O2</f>
        <v>13.025</v>
      </c>
      <c r="Q2" s="33">
        <f t="shared" ref="Q2:Q9" si="1">M2*P2</f>
        <v>703.35</v>
      </c>
      <c r="R2" s="31"/>
      <c r="S2" s="29"/>
      <c r="T2" s="31">
        <f t="shared" ref="T2:T10" si="2">(Q2-H2)/H2</f>
        <v>-0.29897739504843912</v>
      </c>
      <c r="U2" s="31"/>
    </row>
    <row r="3" spans="1:21">
      <c r="A3" s="29" t="s">
        <v>38</v>
      </c>
      <c r="B3" s="47" t="s">
        <v>156</v>
      </c>
      <c r="C3" s="29" t="s">
        <v>157</v>
      </c>
      <c r="D3" s="29" t="s">
        <v>158</v>
      </c>
      <c r="E3" s="29" t="s">
        <v>20</v>
      </c>
      <c r="F3" s="29" t="s">
        <v>21</v>
      </c>
      <c r="G3" s="29" t="s">
        <v>22</v>
      </c>
      <c r="H3" s="33">
        <f t="shared" si="0"/>
        <v>922.82652000000007</v>
      </c>
      <c r="I3" s="31">
        <f>(H2+H3)/H10</f>
        <v>0.24373056340860216</v>
      </c>
      <c r="J3" s="29" t="s">
        <v>60</v>
      </c>
      <c r="K3" s="31">
        <v>0.38</v>
      </c>
      <c r="L3" s="33">
        <v>120.56</v>
      </c>
      <c r="M3" s="36">
        <v>9</v>
      </c>
      <c r="N3" s="33">
        <f>L3*0.8505</f>
        <v>102.53628</v>
      </c>
      <c r="O3" s="33">
        <v>139.12</v>
      </c>
      <c r="P3" s="33">
        <f>O3*B17</f>
        <v>112.97935200000001</v>
      </c>
      <c r="Q3" s="33">
        <f t="shared" si="1"/>
        <v>1016.8141680000001</v>
      </c>
      <c r="R3" s="31">
        <f>(Q2+Q3)/Q10</f>
        <v>0.21319307866244538</v>
      </c>
      <c r="S3" s="33"/>
      <c r="T3" s="31">
        <f t="shared" si="2"/>
        <v>0.101847580193079</v>
      </c>
      <c r="U3" s="31"/>
    </row>
    <row r="4" spans="1:21">
      <c r="A4" s="29" t="s">
        <v>25</v>
      </c>
      <c r="B4" s="29" t="s">
        <v>159</v>
      </c>
      <c r="C4" s="29" t="s">
        <v>160</v>
      </c>
      <c r="D4" s="29" t="s">
        <v>161</v>
      </c>
      <c r="E4" s="29" t="s">
        <v>20</v>
      </c>
      <c r="F4" s="29" t="s">
        <v>21</v>
      </c>
      <c r="G4" s="29" t="s">
        <v>22</v>
      </c>
      <c r="H4" s="33">
        <f t="shared" si="0"/>
        <v>934.61445000000003</v>
      </c>
      <c r="I4" s="31"/>
      <c r="J4" s="29" t="s">
        <v>53</v>
      </c>
      <c r="K4" s="31">
        <v>0.48599999999999999</v>
      </c>
      <c r="L4" s="33">
        <v>99.9</v>
      </c>
      <c r="M4" s="36">
        <v>11</v>
      </c>
      <c r="N4" s="33">
        <f>L4*0.8505</f>
        <v>84.964950000000002</v>
      </c>
      <c r="O4" s="33">
        <v>156.94999999999999</v>
      </c>
      <c r="P4" s="33">
        <f>O4*B17</f>
        <v>127.45909499999999</v>
      </c>
      <c r="Q4" s="33">
        <f t="shared" si="1"/>
        <v>1402.050045</v>
      </c>
      <c r="R4" s="31"/>
      <c r="S4" s="33"/>
      <c r="T4" s="31">
        <f t="shared" si="2"/>
        <v>0.50013735075463461</v>
      </c>
      <c r="U4" s="31"/>
    </row>
    <row r="5" spans="1:21">
      <c r="A5" s="29" t="s">
        <v>25</v>
      </c>
      <c r="B5" s="29" t="s">
        <v>162</v>
      </c>
      <c r="C5" s="29" t="s">
        <v>163</v>
      </c>
      <c r="D5" s="29" t="s">
        <v>164</v>
      </c>
      <c r="E5" s="29" t="s">
        <v>10</v>
      </c>
      <c r="F5" s="29" t="s">
        <v>141</v>
      </c>
      <c r="G5" s="29" t="s">
        <v>16</v>
      </c>
      <c r="H5" s="33">
        <f t="shared" si="0"/>
        <v>993.72</v>
      </c>
      <c r="I5" s="31">
        <f>(H4+H5)/H10</f>
        <v>0.24400741950758606</v>
      </c>
      <c r="J5" s="29" t="s">
        <v>53</v>
      </c>
      <c r="K5" s="31">
        <v>0.63</v>
      </c>
      <c r="L5" s="33">
        <v>38.22</v>
      </c>
      <c r="M5" s="36">
        <v>26</v>
      </c>
      <c r="N5" s="33">
        <f>L5</f>
        <v>38.22</v>
      </c>
      <c r="O5" s="33">
        <v>49.1</v>
      </c>
      <c r="P5" s="33">
        <f>O5</f>
        <v>49.1</v>
      </c>
      <c r="Q5" s="33">
        <f t="shared" si="1"/>
        <v>1276.6000000000001</v>
      </c>
      <c r="R5" s="31">
        <f>(Q4+Q5)/Q10</f>
        <v>0.3319855513656112</v>
      </c>
      <c r="S5" s="33"/>
      <c r="T5" s="31">
        <f t="shared" si="2"/>
        <v>0.28466771323914192</v>
      </c>
      <c r="U5" s="31"/>
    </row>
    <row r="6" spans="1:21">
      <c r="A6" s="29" t="s">
        <v>46</v>
      </c>
      <c r="B6" s="29" t="s">
        <v>165</v>
      </c>
      <c r="C6" s="29" t="s">
        <v>166</v>
      </c>
      <c r="D6" s="29" t="s">
        <v>167</v>
      </c>
      <c r="E6" s="29" t="s">
        <v>10</v>
      </c>
      <c r="F6" s="29" t="s">
        <v>129</v>
      </c>
      <c r="G6" s="29" t="s">
        <v>130</v>
      </c>
      <c r="H6" s="33">
        <f t="shared" si="0"/>
        <v>994.81819499999995</v>
      </c>
      <c r="I6" s="31"/>
      <c r="J6" s="29" t="s">
        <v>53</v>
      </c>
      <c r="K6" s="31">
        <v>0.3</v>
      </c>
      <c r="L6" s="33">
        <v>14.03</v>
      </c>
      <c r="M6" s="36">
        <v>63</v>
      </c>
      <c r="N6" s="33">
        <f>L6*1.1255</f>
        <v>15.790764999999999</v>
      </c>
      <c r="O6" s="33">
        <v>12.66</v>
      </c>
      <c r="P6" s="33">
        <f>O6*B18</f>
        <v>14.162742</v>
      </c>
      <c r="Q6" s="33">
        <f t="shared" si="1"/>
        <v>892.252746</v>
      </c>
      <c r="R6" s="31"/>
      <c r="S6" s="33"/>
      <c r="T6" s="31">
        <f t="shared" si="2"/>
        <v>-0.10309969149689703</v>
      </c>
      <c r="U6" s="31"/>
    </row>
    <row r="7" spans="1:21">
      <c r="A7" s="29" t="s">
        <v>46</v>
      </c>
      <c r="B7" s="47" t="s">
        <v>168</v>
      </c>
      <c r="C7" s="29" t="s">
        <v>169</v>
      </c>
      <c r="D7" s="29" t="s">
        <v>170</v>
      </c>
      <c r="E7" s="29" t="s">
        <v>10</v>
      </c>
      <c r="F7" s="29" t="s">
        <v>145</v>
      </c>
      <c r="G7" s="29" t="s">
        <v>16</v>
      </c>
      <c r="H7" s="33">
        <f t="shared" si="0"/>
        <v>1009.6</v>
      </c>
      <c r="I7" s="31">
        <f>(H6+H7)/H10</f>
        <v>0.25363489791721733</v>
      </c>
      <c r="J7" s="29" t="s">
        <v>53</v>
      </c>
      <c r="K7" s="31">
        <v>0.33800000000000002</v>
      </c>
      <c r="L7" s="33">
        <v>31.55</v>
      </c>
      <c r="M7" s="36">
        <v>32</v>
      </c>
      <c r="N7" s="33">
        <f>L7</f>
        <v>31.55</v>
      </c>
      <c r="O7" s="33">
        <v>29.64</v>
      </c>
      <c r="P7" s="33">
        <f>O7</f>
        <v>29.64</v>
      </c>
      <c r="Q7" s="33">
        <f t="shared" si="1"/>
        <v>948.48</v>
      </c>
      <c r="R7" s="31">
        <f>(Q6+Q7)/Q10</f>
        <v>0.22813606306588122</v>
      </c>
      <c r="S7" s="33"/>
      <c r="T7" s="31">
        <f t="shared" si="2"/>
        <v>-6.0538827258320133E-2</v>
      </c>
      <c r="U7" s="31"/>
    </row>
    <row r="8" spans="1:21">
      <c r="A8" s="29" t="s">
        <v>4</v>
      </c>
      <c r="B8" s="29" t="s">
        <v>171</v>
      </c>
      <c r="C8" s="29" t="s">
        <v>172</v>
      </c>
      <c r="D8" s="29" t="s">
        <v>173</v>
      </c>
      <c r="E8" s="29" t="s">
        <v>20</v>
      </c>
      <c r="F8" s="29" t="s">
        <v>21</v>
      </c>
      <c r="G8" s="29" t="s">
        <v>22</v>
      </c>
      <c r="H8" s="33">
        <f t="shared" si="0"/>
        <v>1049.92524</v>
      </c>
      <c r="I8" s="31">
        <f>(H8)/H10</f>
        <v>0.13285535011226032</v>
      </c>
      <c r="J8" s="29" t="s">
        <v>53</v>
      </c>
      <c r="K8" s="31">
        <v>0.47299999999999998</v>
      </c>
      <c r="L8" s="33">
        <v>154.31</v>
      </c>
      <c r="M8" s="36">
        <v>8</v>
      </c>
      <c r="N8" s="33">
        <f>L8*0.8505</f>
        <v>131.240655</v>
      </c>
      <c r="O8" s="33">
        <v>133.88999999999999</v>
      </c>
      <c r="P8" s="33">
        <f>O8*B17</f>
        <v>108.732069</v>
      </c>
      <c r="Q8" s="33">
        <f t="shared" si="1"/>
        <v>869.85655199999997</v>
      </c>
      <c r="R8" s="31">
        <f>(Q8)/Q10</f>
        <v>0.10780796377778025</v>
      </c>
      <c r="S8" s="29"/>
      <c r="T8" s="31">
        <f t="shared" si="2"/>
        <v>-0.17150619981285531</v>
      </c>
      <c r="U8" s="31"/>
    </row>
    <row r="9" spans="1:21">
      <c r="A9" s="29" t="s">
        <v>17</v>
      </c>
      <c r="B9" s="29" t="s">
        <v>174</v>
      </c>
      <c r="C9" s="29" t="s">
        <v>175</v>
      </c>
      <c r="D9" s="29" t="s">
        <v>176</v>
      </c>
      <c r="E9" s="29" t="s">
        <v>20</v>
      </c>
      <c r="F9" s="29" t="s">
        <v>21</v>
      </c>
      <c r="G9" s="29" t="s">
        <v>22</v>
      </c>
      <c r="H9" s="33">
        <f t="shared" si="0"/>
        <v>993.94533000000001</v>
      </c>
      <c r="I9" s="31">
        <f>(H9)/H10</f>
        <v>0.12577176905433393</v>
      </c>
      <c r="J9" s="29" t="s">
        <v>53</v>
      </c>
      <c r="K9" s="31">
        <v>0.68</v>
      </c>
      <c r="L9" s="33">
        <v>16.46</v>
      </c>
      <c r="M9" s="36">
        <v>71</v>
      </c>
      <c r="N9" s="33">
        <f>L9*0.8505</f>
        <v>13.999230000000001</v>
      </c>
      <c r="O9" s="33">
        <v>16.635200000000001</v>
      </c>
      <c r="P9" s="33">
        <f>O9*B17</f>
        <v>13.509445920000001</v>
      </c>
      <c r="Q9" s="33">
        <f t="shared" si="1"/>
        <v>959.17066032000002</v>
      </c>
      <c r="R9" s="31">
        <f>(Q9)/Q10</f>
        <v>0.11887734312828183</v>
      </c>
      <c r="S9" s="33"/>
      <c r="T9" s="31">
        <f t="shared" si="2"/>
        <v>-3.4986501400434154E-2</v>
      </c>
      <c r="U9" s="31"/>
    </row>
    <row r="10" spans="1:21" s="4" customFormat="1">
      <c r="A10" s="10"/>
      <c r="B10" s="10"/>
      <c r="C10" s="10"/>
      <c r="D10" s="10"/>
      <c r="E10" s="10"/>
      <c r="F10" s="10"/>
      <c r="G10" s="10"/>
      <c r="H10" s="11">
        <f>SUM(H2:H9)</f>
        <v>7902.7697350000017</v>
      </c>
      <c r="I10" s="12">
        <f>SUM(I2:I9)</f>
        <v>0.99999999999999978</v>
      </c>
      <c r="J10" s="10"/>
      <c r="K10" s="12"/>
      <c r="L10" s="11"/>
      <c r="M10" s="19"/>
      <c r="N10" s="11"/>
      <c r="O10" s="11"/>
      <c r="P10" s="11"/>
      <c r="Q10" s="11">
        <f>SUM(Q2:Q9)</f>
        <v>8068.5741713200014</v>
      </c>
      <c r="R10" s="12">
        <f>SUM(R2:R9)</f>
        <v>0.99999999999999978</v>
      </c>
      <c r="S10" s="11"/>
      <c r="T10" s="12">
        <f t="shared" si="2"/>
        <v>2.0980547564948084E-2</v>
      </c>
      <c r="U10" s="12"/>
    </row>
    <row r="12" spans="1:21">
      <c r="A12" s="40" t="s">
        <v>72</v>
      </c>
      <c r="B12" s="40"/>
      <c r="C12" s="40"/>
      <c r="D12" s="40"/>
      <c r="E12" s="40"/>
      <c r="F12" s="40"/>
      <c r="G12" s="40"/>
      <c r="H12" s="41"/>
      <c r="I12" s="42"/>
      <c r="J12" s="40" t="s">
        <v>64</v>
      </c>
      <c r="K12" s="42"/>
      <c r="L12" s="41">
        <v>2010.9459999999999</v>
      </c>
      <c r="M12" s="43"/>
      <c r="N12" s="41"/>
      <c r="O12" s="41">
        <f>'170830_langfr_Geldanlage'!N14</f>
        <v>2089.9699999999998</v>
      </c>
      <c r="P12" s="41"/>
      <c r="Q12" s="41"/>
      <c r="R12" s="42"/>
      <c r="S12" s="41" t="s">
        <v>64</v>
      </c>
      <c r="T12" s="42">
        <f>(O12-L12)/L12</f>
        <v>3.9296927913529199E-2</v>
      </c>
      <c r="U12" s="42"/>
    </row>
    <row r="15" spans="1:21">
      <c r="A15" s="35" t="s">
        <v>150</v>
      </c>
      <c r="B15" s="48">
        <v>43012</v>
      </c>
    </row>
    <row r="17" spans="1:2">
      <c r="A17" s="35" t="s">
        <v>22</v>
      </c>
      <c r="B17" s="35">
        <f>'170830_langfr_Geldanlage'!B18</f>
        <v>0.81210000000000004</v>
      </c>
    </row>
    <row r="18" spans="1:2">
      <c r="A18" s="35" t="s">
        <v>130</v>
      </c>
      <c r="B18" s="35">
        <f>'170830_langfr_Geldanlage'!B19</f>
        <v>1.1187</v>
      </c>
    </row>
    <row r="21" spans="1:2">
      <c r="A21" s="50" t="s">
        <v>195</v>
      </c>
      <c r="B21" s="51">
        <v>43161</v>
      </c>
    </row>
    <row r="22" spans="1:2">
      <c r="A22" s="50" t="s">
        <v>196</v>
      </c>
      <c r="B22" s="35">
        <v>0.42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5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178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192</v>
      </c>
      <c r="O1" s="49" t="s">
        <v>193</v>
      </c>
      <c r="P1" s="49" t="s">
        <v>194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179</v>
      </c>
      <c r="D2" s="29" t="s">
        <v>180</v>
      </c>
      <c r="E2" s="29" t="s">
        <v>10</v>
      </c>
      <c r="F2" s="29" t="s">
        <v>34</v>
      </c>
      <c r="G2" s="29" t="s">
        <v>130</v>
      </c>
      <c r="H2" s="33">
        <f t="shared" ref="H2:H5" si="0">L2*M2</f>
        <v>1014.3000000000001</v>
      </c>
      <c r="I2" s="31"/>
      <c r="J2" s="29" t="s">
        <v>60</v>
      </c>
      <c r="K2" s="33">
        <v>12.88</v>
      </c>
      <c r="L2" s="36">
        <v>70</v>
      </c>
      <c r="M2" s="33">
        <f>K2*1.125</f>
        <v>14.49</v>
      </c>
      <c r="N2" s="33">
        <v>12.64</v>
      </c>
      <c r="O2" s="33">
        <f>N2*B12</f>
        <v>14.140368</v>
      </c>
      <c r="P2" s="33">
        <f t="shared" ref="P2:P5" si="1">L2*O2</f>
        <v>989.82576000000006</v>
      </c>
      <c r="Q2" s="31"/>
      <c r="R2" s="29"/>
      <c r="S2" s="31">
        <f t="shared" ref="S2:S6" si="2">(P2-H2)/H2</f>
        <v>-2.4129192546583859E-2</v>
      </c>
      <c r="T2" s="31"/>
    </row>
    <row r="3" spans="1:20">
      <c r="A3" s="29" t="s">
        <v>4</v>
      </c>
      <c r="B3" s="29" t="s">
        <v>181</v>
      </c>
      <c r="C3" s="37" t="s">
        <v>182</v>
      </c>
      <c r="D3" s="29" t="s">
        <v>183</v>
      </c>
      <c r="E3" s="29" t="s">
        <v>20</v>
      </c>
      <c r="F3" s="29" t="s">
        <v>21</v>
      </c>
      <c r="G3" s="29" t="s">
        <v>22</v>
      </c>
      <c r="H3" s="33">
        <f t="shared" si="0"/>
        <v>1043.18256</v>
      </c>
      <c r="I3" s="31">
        <f>(H2+H3)/H6</f>
        <v>0.50684319868071748</v>
      </c>
      <c r="J3" s="29" t="s">
        <v>60</v>
      </c>
      <c r="K3" s="33">
        <v>104.36</v>
      </c>
      <c r="L3" s="36">
        <v>12</v>
      </c>
      <c r="M3" s="33">
        <f>K3*0.833</f>
        <v>86.931879999999992</v>
      </c>
      <c r="N3" s="33">
        <v>88.94</v>
      </c>
      <c r="O3" s="33">
        <f>N3*B11</f>
        <v>72.228173999999996</v>
      </c>
      <c r="P3" s="33">
        <f t="shared" si="1"/>
        <v>866.73808799999995</v>
      </c>
      <c r="Q3" s="31">
        <f>(P2+P3)/P6</f>
        <v>0.49506662329888196</v>
      </c>
      <c r="R3" s="33"/>
      <c r="S3" s="31">
        <f t="shared" si="2"/>
        <v>-0.16914055004907294</v>
      </c>
      <c r="T3" s="31"/>
    </row>
    <row r="4" spans="1:20">
      <c r="A4" s="29" t="s">
        <v>184</v>
      </c>
      <c r="B4" s="29" t="s">
        <v>185</v>
      </c>
      <c r="C4" s="37" t="s">
        <v>187</v>
      </c>
      <c r="D4" s="29" t="s">
        <v>186</v>
      </c>
      <c r="E4" s="29" t="s">
        <v>20</v>
      </c>
      <c r="F4" s="29" t="s">
        <v>21</v>
      </c>
      <c r="G4" s="29" t="s">
        <v>22</v>
      </c>
      <c r="H4" s="33">
        <f t="shared" si="0"/>
        <v>1000.32471</v>
      </c>
      <c r="I4" s="31">
        <f>(H4)/H6</f>
        <v>0.24642142081426008</v>
      </c>
      <c r="J4" s="29" t="s">
        <v>66</v>
      </c>
      <c r="K4" s="33">
        <v>36.39</v>
      </c>
      <c r="L4" s="36">
        <v>33</v>
      </c>
      <c r="M4" s="33">
        <f>K4*0.833</f>
        <v>30.31287</v>
      </c>
      <c r="N4" s="33">
        <v>32.479999999999997</v>
      </c>
      <c r="O4" s="33">
        <f>N4*B11</f>
        <v>26.377008</v>
      </c>
      <c r="P4" s="33">
        <f t="shared" si="1"/>
        <v>870.44126400000005</v>
      </c>
      <c r="Q4" s="31">
        <f>(P4)/P6</f>
        <v>0.23210966744435427</v>
      </c>
      <c r="R4" s="33"/>
      <c r="S4" s="31">
        <f t="shared" si="2"/>
        <v>-0.12984128523627086</v>
      </c>
      <c r="T4" s="31"/>
    </row>
    <row r="5" spans="1:20">
      <c r="A5" s="29" t="s">
        <v>188</v>
      </c>
      <c r="B5" s="29" t="s">
        <v>189</v>
      </c>
      <c r="C5" s="37" t="s">
        <v>190</v>
      </c>
      <c r="D5" s="29" t="s">
        <v>191</v>
      </c>
      <c r="E5" s="29" t="s">
        <v>20</v>
      </c>
      <c r="F5" s="29" t="s">
        <v>21</v>
      </c>
      <c r="G5" s="29" t="s">
        <v>22</v>
      </c>
      <c r="H5" s="33">
        <f t="shared" si="0"/>
        <v>1001.5992</v>
      </c>
      <c r="I5" s="31">
        <f>(H5)/H6</f>
        <v>0.24673538050502244</v>
      </c>
      <c r="J5" s="29" t="s">
        <v>60</v>
      </c>
      <c r="K5" s="33">
        <v>40.08</v>
      </c>
      <c r="L5" s="36">
        <v>30</v>
      </c>
      <c r="M5" s="33">
        <f>K5*0.833</f>
        <v>33.38664</v>
      </c>
      <c r="N5" s="33">
        <v>41.994999999999997</v>
      </c>
      <c r="O5" s="33">
        <f>N5*B11</f>
        <v>34.104139500000002</v>
      </c>
      <c r="P5" s="33">
        <f t="shared" si="1"/>
        <v>1023.1241850000001</v>
      </c>
      <c r="Q5" s="31">
        <f>(P5)/P6</f>
        <v>0.27282370925676386</v>
      </c>
      <c r="R5" s="33"/>
      <c r="S5" s="31">
        <f t="shared" si="2"/>
        <v>2.1490617204965947E-2</v>
      </c>
      <c r="T5" s="31"/>
    </row>
    <row r="6" spans="1:20" s="4" customFormat="1">
      <c r="A6" s="10"/>
      <c r="B6" s="10"/>
      <c r="C6" s="10"/>
      <c r="D6" s="10"/>
      <c r="E6" s="10"/>
      <c r="F6" s="10"/>
      <c r="G6" s="10"/>
      <c r="H6" s="11">
        <f>SUM(H2:H5)</f>
        <v>4059.4064699999999</v>
      </c>
      <c r="I6" s="12">
        <f>SUM(I2:I5)</f>
        <v>1</v>
      </c>
      <c r="J6" s="10"/>
      <c r="K6" s="11"/>
      <c r="L6" s="19"/>
      <c r="M6" s="11"/>
      <c r="N6" s="11"/>
      <c r="O6" s="11"/>
      <c r="P6" s="11">
        <f>SUM(P2:P5)</f>
        <v>3750.129297</v>
      </c>
      <c r="Q6" s="12">
        <f>SUM(Q2:Q5)</f>
        <v>1</v>
      </c>
      <c r="R6" s="11"/>
      <c r="S6" s="12">
        <f t="shared" si="2"/>
        <v>-7.6187781461559315E-2</v>
      </c>
      <c r="T6" s="12"/>
    </row>
    <row r="8" spans="1:20">
      <c r="A8" s="40" t="s">
        <v>72</v>
      </c>
      <c r="B8" s="40"/>
      <c r="C8" s="40"/>
      <c r="D8" s="40"/>
      <c r="E8" s="40"/>
      <c r="F8" s="40"/>
      <c r="G8" s="40"/>
      <c r="H8" s="41"/>
      <c r="I8" s="42"/>
      <c r="J8" s="40" t="s">
        <v>64</v>
      </c>
      <c r="K8" s="41">
        <v>2103.44</v>
      </c>
      <c r="L8" s="43"/>
      <c r="M8" s="41"/>
      <c r="N8" s="41">
        <f>'170830_langfr_Geldanlage'!N14</f>
        <v>2089.9699999999998</v>
      </c>
      <c r="O8" s="41"/>
      <c r="P8" s="41"/>
      <c r="Q8" s="42"/>
      <c r="R8" s="41" t="s">
        <v>64</v>
      </c>
      <c r="S8" s="42">
        <f>(N8-K8)/K8</f>
        <v>-6.4037956870651195E-3</v>
      </c>
      <c r="T8" s="42"/>
    </row>
    <row r="10" spans="1:20">
      <c r="A10" s="35" t="s">
        <v>117</v>
      </c>
    </row>
    <row r="11" spans="1:20">
      <c r="A11" s="35" t="s">
        <v>22</v>
      </c>
      <c r="B11" s="35">
        <f>'170830_langfr_Geldanlage'!B18</f>
        <v>0.81210000000000004</v>
      </c>
    </row>
    <row r="12" spans="1:20">
      <c r="A12" s="35" t="s">
        <v>130</v>
      </c>
      <c r="B12" s="35">
        <f>'170830_langfr_Geldanlage'!B19</f>
        <v>1.1187</v>
      </c>
    </row>
    <row r="14" spans="1:20">
      <c r="A14" s="50" t="s">
        <v>195</v>
      </c>
      <c r="B14" s="51">
        <v>43161</v>
      </c>
    </row>
    <row r="15" spans="1:20">
      <c r="A15" s="50" t="s">
        <v>196</v>
      </c>
      <c r="B15" s="35">
        <v>0.42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RowHeight="15" x14ac:dyDescent="0"/>
  <cols>
    <col min="1" max="1" width="19" style="1" bestFit="1" customWidth="1"/>
    <col min="2" max="2" width="36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49" t="s">
        <v>202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192</v>
      </c>
      <c r="O1" s="49" t="s">
        <v>193</v>
      </c>
      <c r="P1" s="49" t="s">
        <v>194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3" t="s">
        <v>198</v>
      </c>
      <c r="B2" s="53" t="s">
        <v>199</v>
      </c>
      <c r="C2" s="53" t="s">
        <v>200</v>
      </c>
      <c r="D2" s="53" t="s">
        <v>201</v>
      </c>
      <c r="E2" s="53" t="s">
        <v>20</v>
      </c>
      <c r="F2" s="53" t="s">
        <v>41</v>
      </c>
      <c r="G2" s="53" t="s">
        <v>42</v>
      </c>
      <c r="H2" s="6">
        <f>M2*L2</f>
        <v>1025.74432</v>
      </c>
      <c r="I2" s="7"/>
      <c r="J2" s="53" t="s">
        <v>53</v>
      </c>
      <c r="K2" s="6">
        <v>40.729999999999997</v>
      </c>
      <c r="L2" s="18">
        <v>40</v>
      </c>
      <c r="M2" s="6">
        <f>K2*B21</f>
        <v>25.643608</v>
      </c>
      <c r="N2" s="6">
        <v>40.729999999999997</v>
      </c>
      <c r="O2" s="6">
        <f>N2*B21</f>
        <v>25.643608</v>
      </c>
      <c r="P2" s="6">
        <f t="shared" ref="P2:P11" si="0">L2*O2</f>
        <v>1025.74432</v>
      </c>
      <c r="Q2" s="7"/>
      <c r="R2" s="33"/>
      <c r="S2" s="7">
        <f>(P2-H2)/H2</f>
        <v>0</v>
      </c>
      <c r="T2" s="7"/>
    </row>
    <row r="3" spans="1:20">
      <c r="A3" s="53" t="s">
        <v>203</v>
      </c>
      <c r="B3" s="53" t="s">
        <v>204</v>
      </c>
      <c r="C3" s="53" t="s">
        <v>205</v>
      </c>
      <c r="D3" s="53" t="s">
        <v>206</v>
      </c>
      <c r="E3" s="53" t="s">
        <v>29</v>
      </c>
      <c r="F3" s="53" t="s">
        <v>207</v>
      </c>
      <c r="G3" s="53" t="s">
        <v>16</v>
      </c>
      <c r="H3" s="6">
        <f>M3*L3</f>
        <v>946.80000000000007</v>
      </c>
      <c r="I3" s="7"/>
      <c r="J3" s="53" t="s">
        <v>208</v>
      </c>
      <c r="K3" s="6">
        <v>78.900000000000006</v>
      </c>
      <c r="L3" s="18">
        <v>12</v>
      </c>
      <c r="M3" s="6">
        <f>K3</f>
        <v>78.900000000000006</v>
      </c>
      <c r="N3" s="6">
        <v>78.900000000000006</v>
      </c>
      <c r="O3" s="6">
        <f>N3</f>
        <v>78.900000000000006</v>
      </c>
      <c r="P3" s="6">
        <f t="shared" si="0"/>
        <v>946.80000000000007</v>
      </c>
      <c r="Q3" s="7"/>
      <c r="R3" s="26"/>
      <c r="S3" s="7">
        <f t="shared" ref="S3:S12" si="1">(P3-H3)/H3</f>
        <v>0</v>
      </c>
      <c r="T3" s="7"/>
    </row>
    <row r="4" spans="1:20">
      <c r="A4" s="53" t="s">
        <v>4</v>
      </c>
      <c r="B4" s="53" t="s">
        <v>5</v>
      </c>
      <c r="C4" s="53" t="s">
        <v>6</v>
      </c>
      <c r="D4" s="53" t="s">
        <v>58</v>
      </c>
      <c r="E4" s="53" t="s">
        <v>7</v>
      </c>
      <c r="F4" s="53" t="s">
        <v>7</v>
      </c>
      <c r="G4" s="53" t="s">
        <v>16</v>
      </c>
      <c r="H4" s="6">
        <f>M4*L4</f>
        <v>988.00000000000011</v>
      </c>
      <c r="I4" s="7"/>
      <c r="J4" s="53" t="s">
        <v>53</v>
      </c>
      <c r="K4" s="6">
        <v>39.520000000000003</v>
      </c>
      <c r="L4" s="18">
        <v>25</v>
      </c>
      <c r="M4" s="6">
        <f>K4</f>
        <v>39.520000000000003</v>
      </c>
      <c r="N4" s="6">
        <v>39.520000000000003</v>
      </c>
      <c r="O4" s="6">
        <f>N4</f>
        <v>39.520000000000003</v>
      </c>
      <c r="P4" s="6">
        <f t="shared" si="0"/>
        <v>988.00000000000011</v>
      </c>
      <c r="Q4" s="7"/>
      <c r="R4" s="28"/>
      <c r="S4" s="7">
        <f t="shared" si="1"/>
        <v>0</v>
      </c>
      <c r="T4" s="7"/>
    </row>
    <row r="5" spans="1:20">
      <c r="A5" s="53" t="s">
        <v>17</v>
      </c>
      <c r="B5" s="53" t="s">
        <v>209</v>
      </c>
      <c r="C5" s="53" t="s">
        <v>210</v>
      </c>
      <c r="D5" s="53" t="s">
        <v>211</v>
      </c>
      <c r="E5" s="53" t="s">
        <v>10</v>
      </c>
      <c r="F5" s="53" t="s">
        <v>15</v>
      </c>
      <c r="G5" s="53" t="s">
        <v>16</v>
      </c>
      <c r="H5" s="6">
        <f>M5*L5</f>
        <v>1068</v>
      </c>
      <c r="I5" s="7"/>
      <c r="J5" s="53" t="s">
        <v>60</v>
      </c>
      <c r="K5" s="6">
        <v>106.8</v>
      </c>
      <c r="L5" s="18">
        <v>10</v>
      </c>
      <c r="M5" s="6">
        <f>K5</f>
        <v>106.8</v>
      </c>
      <c r="N5" s="6">
        <v>106.8</v>
      </c>
      <c r="O5" s="6">
        <f>N5</f>
        <v>106.8</v>
      </c>
      <c r="P5" s="6">
        <f t="shared" si="0"/>
        <v>1068</v>
      </c>
      <c r="Q5" s="7"/>
      <c r="R5" s="33"/>
      <c r="S5" s="7">
        <f t="shared" si="1"/>
        <v>0</v>
      </c>
      <c r="T5" s="7"/>
    </row>
    <row r="6" spans="1:20">
      <c r="A6" s="53" t="s">
        <v>25</v>
      </c>
      <c r="B6" s="53" t="s">
        <v>216</v>
      </c>
      <c r="C6" s="53" t="s">
        <v>214</v>
      </c>
      <c r="D6" s="53" t="s">
        <v>215</v>
      </c>
      <c r="E6" s="53" t="s">
        <v>20</v>
      </c>
      <c r="F6" s="53" t="s">
        <v>21</v>
      </c>
      <c r="G6" s="53" t="s">
        <v>22</v>
      </c>
      <c r="H6" s="6">
        <f>M6*L6</f>
        <v>1052.9375520000001</v>
      </c>
      <c r="I6" s="7"/>
      <c r="J6" s="53" t="s">
        <v>75</v>
      </c>
      <c r="K6" s="6">
        <v>216.28</v>
      </c>
      <c r="L6" s="18">
        <v>6</v>
      </c>
      <c r="M6" s="6">
        <f>K6*B18</f>
        <v>175.48959200000002</v>
      </c>
      <c r="N6" s="6">
        <v>216.28</v>
      </c>
      <c r="O6" s="6">
        <f>N6*B18</f>
        <v>175.48959200000002</v>
      </c>
      <c r="P6" s="6">
        <f t="shared" si="0"/>
        <v>1052.9375520000001</v>
      </c>
      <c r="Q6" s="7"/>
      <c r="R6" s="22"/>
      <c r="S6" s="7">
        <f t="shared" si="1"/>
        <v>0</v>
      </c>
      <c r="T6" s="7"/>
    </row>
    <row r="7" spans="1:20">
      <c r="A7" s="53" t="s">
        <v>26</v>
      </c>
      <c r="B7" s="53" t="s">
        <v>217</v>
      </c>
      <c r="C7" s="53" t="s">
        <v>212</v>
      </c>
      <c r="D7" s="53" t="s">
        <v>218</v>
      </c>
      <c r="E7" s="53" t="s">
        <v>10</v>
      </c>
      <c r="F7" s="53" t="s">
        <v>15</v>
      </c>
      <c r="G7" s="53" t="s">
        <v>16</v>
      </c>
      <c r="H7" s="6">
        <f>M7*L7</f>
        <v>1015</v>
      </c>
      <c r="I7" s="7"/>
      <c r="J7" s="53" t="s">
        <v>219</v>
      </c>
      <c r="K7" s="6">
        <v>507.5</v>
      </c>
      <c r="L7" s="18">
        <v>2</v>
      </c>
      <c r="M7" s="6">
        <f>K7</f>
        <v>507.5</v>
      </c>
      <c r="N7" s="6">
        <v>507.5</v>
      </c>
      <c r="O7" s="6">
        <f>N7</f>
        <v>507.5</v>
      </c>
      <c r="P7" s="6">
        <f t="shared" si="0"/>
        <v>1015</v>
      </c>
      <c r="Q7" s="7"/>
      <c r="R7" s="28"/>
      <c r="S7" s="7">
        <f t="shared" si="1"/>
        <v>0</v>
      </c>
      <c r="T7" s="7"/>
    </row>
    <row r="8" spans="1:20">
      <c r="A8" s="53" t="s">
        <v>26</v>
      </c>
      <c r="B8" s="53" t="s">
        <v>32</v>
      </c>
      <c r="C8" s="53" t="s">
        <v>33</v>
      </c>
      <c r="D8" s="53" t="s">
        <v>57</v>
      </c>
      <c r="E8" s="53" t="s">
        <v>10</v>
      </c>
      <c r="F8" s="53" t="s">
        <v>220</v>
      </c>
      <c r="G8" s="53" t="s">
        <v>130</v>
      </c>
      <c r="H8" s="6">
        <f>M8*L8</f>
        <v>1025.28855</v>
      </c>
      <c r="I8" s="7"/>
      <c r="J8" s="53" t="s">
        <v>53</v>
      </c>
      <c r="K8" s="6">
        <v>19.5</v>
      </c>
      <c r="L8" s="18">
        <v>47</v>
      </c>
      <c r="M8" s="6">
        <f>K8*B19</f>
        <v>21.81465</v>
      </c>
      <c r="N8" s="6">
        <v>19.5</v>
      </c>
      <c r="O8" s="6">
        <f>N8*B19</f>
        <v>21.81465</v>
      </c>
      <c r="P8" s="6">
        <f t="shared" si="0"/>
        <v>1025.28855</v>
      </c>
      <c r="Q8" s="7"/>
      <c r="R8" s="33"/>
      <c r="S8" s="7">
        <f t="shared" si="1"/>
        <v>0</v>
      </c>
      <c r="T8" s="7"/>
    </row>
    <row r="9" spans="1:20">
      <c r="A9" s="53" t="s">
        <v>46</v>
      </c>
      <c r="B9" s="53" t="s">
        <v>225</v>
      </c>
      <c r="C9" s="53" t="s">
        <v>226</v>
      </c>
      <c r="D9" s="53" t="s">
        <v>227</v>
      </c>
      <c r="E9" s="53" t="s">
        <v>10</v>
      </c>
      <c r="F9" s="53" t="s">
        <v>112</v>
      </c>
      <c r="G9" s="53" t="s">
        <v>16</v>
      </c>
      <c r="H9" s="6">
        <f>M9*L9</f>
        <v>907.6</v>
      </c>
      <c r="I9" s="7"/>
      <c r="J9" s="53" t="s">
        <v>60</v>
      </c>
      <c r="K9" s="6">
        <v>453.8</v>
      </c>
      <c r="L9" s="18">
        <v>2</v>
      </c>
      <c r="M9" s="6">
        <f>K9</f>
        <v>453.8</v>
      </c>
      <c r="N9" s="6">
        <v>453.8</v>
      </c>
      <c r="O9" s="6">
        <f>N9</f>
        <v>453.8</v>
      </c>
      <c r="P9" s="6">
        <f t="shared" si="0"/>
        <v>907.6</v>
      </c>
      <c r="Q9" s="7"/>
      <c r="R9" s="33"/>
      <c r="S9" s="7">
        <f t="shared" si="1"/>
        <v>0</v>
      </c>
      <c r="T9" s="7"/>
    </row>
    <row r="10" spans="1:20">
      <c r="A10" s="53" t="s">
        <v>38</v>
      </c>
      <c r="B10" s="53" t="s">
        <v>228</v>
      </c>
      <c r="C10" s="53" t="s">
        <v>213</v>
      </c>
      <c r="D10" s="53" t="s">
        <v>229</v>
      </c>
      <c r="E10" s="53" t="s">
        <v>20</v>
      </c>
      <c r="F10" s="53" t="s">
        <v>21</v>
      </c>
      <c r="G10" s="53" t="s">
        <v>22</v>
      </c>
      <c r="H10" s="6">
        <f>M10*L10</f>
        <v>990.784312</v>
      </c>
      <c r="I10" s="7"/>
      <c r="J10" s="53" t="s">
        <v>230</v>
      </c>
      <c r="K10" s="6">
        <v>43.61</v>
      </c>
      <c r="L10" s="18">
        <v>28</v>
      </c>
      <c r="M10" s="6">
        <f>K10*B18</f>
        <v>35.385154</v>
      </c>
      <c r="N10" s="6">
        <v>43.61</v>
      </c>
      <c r="O10" s="6">
        <f>N10*B18</f>
        <v>35.385154</v>
      </c>
      <c r="P10" s="6">
        <f t="shared" si="0"/>
        <v>990.784312</v>
      </c>
      <c r="Q10" s="7"/>
      <c r="R10" s="28"/>
      <c r="S10" s="7">
        <f t="shared" si="1"/>
        <v>0</v>
      </c>
      <c r="T10" s="7"/>
    </row>
    <row r="11" spans="1:20" ht="30">
      <c r="A11" s="53" t="s">
        <v>38</v>
      </c>
      <c r="B11" s="56" t="s">
        <v>105</v>
      </c>
      <c r="C11" s="53" t="s">
        <v>106</v>
      </c>
      <c r="D11" s="53" t="s">
        <v>107</v>
      </c>
      <c r="E11" s="53" t="s">
        <v>29</v>
      </c>
      <c r="F11" s="53" t="s">
        <v>108</v>
      </c>
      <c r="G11" s="53" t="s">
        <v>22</v>
      </c>
      <c r="H11" s="6">
        <f>M11*L11</f>
        <v>922.82144799999992</v>
      </c>
      <c r="I11" s="7"/>
      <c r="J11" s="53" t="s">
        <v>60</v>
      </c>
      <c r="K11" s="6">
        <v>284.33</v>
      </c>
      <c r="L11" s="18">
        <v>4</v>
      </c>
      <c r="M11" s="6">
        <f>K11*B18</f>
        <v>230.70536199999998</v>
      </c>
      <c r="N11" s="6">
        <v>284.33</v>
      </c>
      <c r="O11" s="6">
        <f>N11*B18</f>
        <v>230.70536199999998</v>
      </c>
      <c r="P11" s="6">
        <f t="shared" si="0"/>
        <v>922.82144799999992</v>
      </c>
      <c r="Q11" s="7"/>
      <c r="R11" s="33"/>
      <c r="S11" s="7">
        <f t="shared" si="1"/>
        <v>0</v>
      </c>
      <c r="T11" s="7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9942.9761820000022</v>
      </c>
      <c r="I12" s="12">
        <f>SUM(I2:I11)</f>
        <v>0</v>
      </c>
      <c r="J12" s="10"/>
      <c r="K12" s="11"/>
      <c r="L12" s="19"/>
      <c r="M12" s="11"/>
      <c r="N12" s="11"/>
      <c r="O12" s="11"/>
      <c r="P12" s="11">
        <f>SUM(P2:P11)</f>
        <v>9942.9761820000022</v>
      </c>
      <c r="Q12" s="12"/>
      <c r="R12" s="11"/>
      <c r="S12" s="12">
        <f t="shared" si="1"/>
        <v>0</v>
      </c>
      <c r="T12" s="12"/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52" t="s">
        <v>197</v>
      </c>
      <c r="K14" s="15">
        <v>2089.9699999999998</v>
      </c>
      <c r="L14" s="20"/>
      <c r="M14" s="15"/>
      <c r="N14" s="15">
        <v>2089.9699999999998</v>
      </c>
      <c r="O14" s="15"/>
      <c r="P14" s="15"/>
      <c r="Q14" s="16"/>
      <c r="R14" s="24" t="s">
        <v>64</v>
      </c>
      <c r="S14" s="16">
        <f>(N14-K14)/K14</f>
        <v>0</v>
      </c>
      <c r="T14" s="16"/>
    </row>
    <row r="17" spans="1:2">
      <c r="A17" s="35" t="s">
        <v>117</v>
      </c>
      <c r="B17" s="35"/>
    </row>
    <row r="18" spans="1:2">
      <c r="A18" s="35" t="s">
        <v>22</v>
      </c>
      <c r="B18" s="35">
        <v>0.81140000000000001</v>
      </c>
    </row>
    <row r="19" spans="1:2">
      <c r="A19" s="35" t="s">
        <v>177</v>
      </c>
      <c r="B19" s="1">
        <v>1.1187</v>
      </c>
    </row>
    <row r="20" spans="1:2">
      <c r="A20" s="50" t="s">
        <v>14</v>
      </c>
      <c r="B20" s="35">
        <v>0.62939999999999996</v>
      </c>
    </row>
    <row r="21" spans="1:2">
      <c r="A21" s="35" t="s">
        <v>42</v>
      </c>
      <c r="B21" s="1">
        <v>0.62960000000000005</v>
      </c>
    </row>
    <row r="22" spans="1:2">
      <c r="A22" s="35" t="s">
        <v>50</v>
      </c>
      <c r="B22" s="35">
        <v>9.8199999999999996E-2</v>
      </c>
    </row>
    <row r="25" spans="1:2">
      <c r="A25" s="50" t="s">
        <v>195</v>
      </c>
      <c r="B25" s="51">
        <v>43161</v>
      </c>
    </row>
    <row r="26" spans="1:2">
      <c r="A26" s="50" t="s">
        <v>196</v>
      </c>
      <c r="B26" s="2">
        <v>0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170830_langfr_Geldanlage</vt:lpstr>
      <vt:lpstr>171004_langfr_Geldanlage</vt:lpstr>
      <vt:lpstr>171004_Turnaroundwerte</vt:lpstr>
      <vt:lpstr>171004_abgestrafte_Werte</vt:lpstr>
      <vt:lpstr>171213_2018_Empfehlungsliste</vt:lpstr>
      <vt:lpstr>180302_langfr_Geldanlage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2018-03-02T19:50:47Z</dcterms:modified>
</cp:coreProperties>
</file>