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3"/>
  </bookViews>
  <sheets>
    <sheet name="170830_langfr_Geldanlage" sheetId="1" r:id="rId1"/>
    <sheet name="171004_langfr_Geldanlage" sheetId="2" r:id="rId2"/>
    <sheet name="171004_Turnaroundwerte" sheetId="3" r:id="rId3"/>
    <sheet name="171004_abgestrafte_Werte" sheetId="4" r:id="rId4"/>
    <sheet name="171213_2018_Empfehlungsliste" sheetId="5" r:id="rId5"/>
    <sheet name="180302_langfr_Geldanlage" sheetId="6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6" l="1"/>
  <c r="C14" i="5"/>
  <c r="B22" i="4"/>
  <c r="C21" i="4"/>
  <c r="B22" i="3"/>
  <c r="C22" i="2"/>
  <c r="B21" i="6"/>
  <c r="B19" i="6"/>
  <c r="B18" i="6"/>
  <c r="B24" i="6"/>
  <c r="B14" i="5"/>
  <c r="B21" i="4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O12" i="4"/>
  <c r="N13" i="3"/>
  <c r="N14" i="2"/>
  <c r="B12" i="5"/>
  <c r="B11" i="5"/>
  <c r="B18" i="4"/>
  <c r="B17" i="4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T12" i="4"/>
  <c r="P2" i="4"/>
  <c r="Q2" i="4"/>
  <c r="P3" i="4"/>
  <c r="Q3" i="4"/>
  <c r="P4" i="4"/>
  <c r="Q4" i="4"/>
  <c r="P5" i="4"/>
  <c r="Q5" i="4"/>
  <c r="P6" i="4"/>
  <c r="Q6" i="4"/>
  <c r="P7" i="4"/>
  <c r="Q7" i="4"/>
  <c r="P8" i="4"/>
  <c r="Q8" i="4"/>
  <c r="P9" i="4"/>
  <c r="Q9" i="4"/>
  <c r="Q10" i="4"/>
  <c r="N2" i="4"/>
  <c r="H2" i="4"/>
  <c r="N3" i="4"/>
  <c r="H3" i="4"/>
  <c r="N4" i="4"/>
  <c r="H4" i="4"/>
  <c r="N5" i="4"/>
  <c r="H5" i="4"/>
  <c r="N6" i="4"/>
  <c r="H6" i="4"/>
  <c r="N7" i="4"/>
  <c r="H7" i="4"/>
  <c r="N8" i="4"/>
  <c r="H8" i="4"/>
  <c r="N9" i="4"/>
  <c r="H9" i="4"/>
  <c r="H10" i="4"/>
  <c r="T10" i="4"/>
  <c r="R3" i="4"/>
  <c r="R5" i="4"/>
  <c r="R7" i="4"/>
  <c r="R8" i="4"/>
  <c r="R9" i="4"/>
  <c r="R10" i="4"/>
  <c r="I3" i="4"/>
  <c r="I5" i="4"/>
  <c r="I7" i="4"/>
  <c r="I8" i="4"/>
  <c r="I9" i="4"/>
  <c r="I10" i="4"/>
  <c r="T9" i="4"/>
  <c r="T8" i="4"/>
  <c r="T7" i="4"/>
  <c r="T6" i="4"/>
  <c r="T5" i="4"/>
  <c r="T4" i="4"/>
  <c r="T3" i="4"/>
  <c r="T2" i="4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<sst xmlns="http://schemas.openxmlformats.org/spreadsheetml/2006/main" count="594" uniqueCount="240">
  <si>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</si>
  <si>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</si>
  <si>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</si>
  <si>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</si>
  <si>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</si>
  <si>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</si>
  <si>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</si>
  <si>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</si>
  <si>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</si>
  <si>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</si>
  <si>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</si>
  <si>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</si>
  <si>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</si>
  <si>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</si>
  <si>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</si>
  <si>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</si>
  <si>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</si>
  <si>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</si>
  <si>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</si>
  <si>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</si>
  <si>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</si>
  <si>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</si>
  <si>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</si>
  <si>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</si>
  <si>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</si>
  <si>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</si>
  <si>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</si>
  <si>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</si>
  <si>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</si>
  <si>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</si>
  <si>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</si>
  <si>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</si>
  <si>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</si>
  <si>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</si>
  <si>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</si>
  <si>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</si>
  <si>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</si>
  <si>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</si>
  <si>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</si>
  <si>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</si>
  <si>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</si>
  <si>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</si>
  <si>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</si>
  <si>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</si>
  <si>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</si>
  <si>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</si>
  <si>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</si>
  <si>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</si>
  <si>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</si>
  <si>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</si>
  <si>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</si>
  <si>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</si>
  <si>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</si>
  <si>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</si>
  <si>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</si>
  <si>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</si>
  <si>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</si>
  <si>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</si>
  <si>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</si>
  <si>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</si>
  <si>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</si>
  <si>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</si>
  <si>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</si>
  <si>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</si>
  <si>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</si>
  <si>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</si>
  <si>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</si>
  <si>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</si>
  <si>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</si>
  <si>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</si>
  <si>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</si>
  <si>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</si>
  <si>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</si>
  <si>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</si>
  <si>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</si>
  <si>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</si>
  <si>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</si>
  <si>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</si>
  <si>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</si>
  <si>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</si>
  <si>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</si>
  <si>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</si>
  <si>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</si>
  <si>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</si>
  <si>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</si>
  <si>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</si>
  <si>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</si>
  <si>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</si>
  <si>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</si>
  <si>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</si>
  <si>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</si>
  <si>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</si>
  <si>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</si>
  <si>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</si>
  <si>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</si>
  <si>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</si>
  <si>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</si>
  <si>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</si>
  <si>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</si>
  <si>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</si>
  <si>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</si>
  <si>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</si>
  <si>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</si>
  <si>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</si>
  <si>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</si>
  <si>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</si>
  <si>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</si>
  <si>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</si>
  <si>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</si>
  <si>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</si>
  <si>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</si>
  <si>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</si>
  <si>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</si>
  <si>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</si>
  <si>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</si>
  <si>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</si>
  <si>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</si>
  <si>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</si>
  <si>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</si>
  <si>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</si>
  <si>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</si>
  <si>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</si>
  <si>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</si>
  <si>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</si>
  <si>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</si>
  <si>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</si>
  <si>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</si>
  <si>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</si>
  <si>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</si>
  <si>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</si>
  <si>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</si>
  <si>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</si>
  <si>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</si>
  <si>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</si>
  <si>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</si>
  <si>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</si>
  <si>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</si>
  <si>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</si>
  <si>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</si>
  <si>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</si>
  <si>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</si>
  <si>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</si>
  <si>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</si>
  <si>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</si>
  <si>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</si>
  <si>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</si>
  <si>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</si>
  <si>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</si>
  <si>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</si>
  <si>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</si>
  <si>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</si>
  <si>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r>
      <t>Rückgang vom ATH in %</t>
    </r>
    <r>
      <rPr>
        <sz val="12"/>
        <color theme="1"/>
        <rFont val="Calibri"/>
        <family val="2"/>
        <charset val="204"/>
        <scheme val="minor"/>
      </rPr>
      <t xml:space="preserve"> beim Erwerb</t>
    </r>
  </si>
  <si>
    <t>Telekommunikation Satellitenbetreiber</t>
  </si>
  <si>
    <t>SES Global</t>
  </si>
  <si>
    <t>914993 LU</t>
  </si>
  <si>
    <t>LU</t>
  </si>
  <si>
    <t>Software Healthcare-Informationstechnologie</t>
  </si>
  <si>
    <t>Athenahealth</t>
  </si>
  <si>
    <t>A0MWXF US</t>
  </si>
  <si>
    <t>Gastronomie Fast Food Hähnchen Burger</t>
  </si>
  <si>
    <t>Buffalo Wild Wings</t>
  </si>
  <si>
    <t>590096 US</t>
  </si>
  <si>
    <t>Gastronomie Restaurant Catering</t>
  </si>
  <si>
    <t>DO &amp; CO</t>
  </si>
  <si>
    <t>915210 AT</t>
  </si>
  <si>
    <t xml:space="preserve">Dienstleister Beratung Werbeagentur </t>
  </si>
  <si>
    <t>WPP</t>
  </si>
  <si>
    <t>A1J2BZ GB</t>
  </si>
  <si>
    <t>Immobilien Einkaufszentren gewerbl. Nutzung</t>
  </si>
  <si>
    <t>Deutsche Euroshop</t>
  </si>
  <si>
    <t>748020 DE</t>
  </si>
  <si>
    <t>Pharmazie seltene Krankheiten</t>
  </si>
  <si>
    <t>Shire</t>
  </si>
  <si>
    <t>913170 US</t>
  </si>
  <si>
    <t>Bekleidung Sport Fitness</t>
  </si>
  <si>
    <t>Under Amour</t>
  </si>
  <si>
    <t>A0HL4V US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</si>
  <si>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</si>
  <si>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</si>
  <si>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</si>
  <si>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</si>
  <si>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</si>
  <si>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</si>
  <si>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</si>
  <si>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</si>
  <si>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Lebebsnittel Hersteller u.a. Fleischprodukte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</si>
  <si>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</si>
  <si>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</si>
  <si>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</si>
  <si>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</si>
  <si>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</si>
  <si>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</si>
  <si>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</si>
  <si>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</si>
  <si>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</si>
  <si>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</si>
  <si>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</si>
  <si>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</si>
  <si>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</si>
  <si>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</si>
  <si>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</si>
  <si>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</si>
  <si>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</si>
  <si>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</si>
  <si>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</si>
  <si>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</si>
  <si>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</si>
  <si>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</si>
  <si>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</si>
  <si>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</si>
  <si>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</si>
  <si>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</si>
  <si>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</si>
  <si>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</si>
  <si>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</si>
  <si>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</si>
  <si>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</si>
  <si>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</si>
  <si>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</si>
  <si>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</si>
  <si>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</si>
  <si>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</si>
  <si>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</si>
  <si>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</si>
  <si>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</si>
  <si>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</si>
  <si>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</si>
  <si>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</si>
  <si>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</si>
  <si>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</si>
  <si>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</si>
  <si>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12 Uhr sowie für US-Werte 04.06.2018 nach Börsenschluss</t>
  </si>
  <si>
    <t>Zielerreichung per 05.06.2018</t>
  </si>
  <si>
    <t>Musterdepot wird aufgelöst und nicht weiter verfolgt</t>
  </si>
  <si>
    <t>Ggf. wird ein neues Musterdepot demnächst eingerichtet</t>
  </si>
  <si>
    <t xml:space="preserve">Innerhalb von 8 Monaten wurde eine Rendite von 15,46% erzielt. </t>
  </si>
  <si>
    <t>Auf ein Jahr hochgerechnet wurden effektiv 23,92% Rendite erwirtschaftet</t>
  </si>
  <si>
    <t>Der Vergleichsindex MSCI World wurde um ca. 200% outperformt</t>
  </si>
  <si>
    <t>Zusätzlich wurde noch Dividende erwirtschaftet</t>
  </si>
  <si>
    <t>Im Fall der "SES Global" war dies eine zusätzliche Rendite von 4,3%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</si>
</sst>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6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4" fontId="7" fillId="0" borderId="1" xfId="0" applyNumberFormat="1" applyFont="1" applyBorder="1"/>
    <xf numFmtId="10" fontId="7" fillId="0" borderId="1" xfId="0" applyNumberFormat="1" applyFont="1" applyBorder="1" applyAlignment="1">
      <alignment wrapText="1"/>
    </xf>
    <xf numFmtId="4" fontId="6" fillId="2" borderId="0" xfId="0" applyNumberFormat="1" applyFont="1" applyFill="1"/>
    <xf numFmtId="4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0" fontId="6" fillId="2" borderId="0" xfId="0" applyFont="1" applyFill="1"/>
    <xf numFmtId="4" fontId="5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/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/>
    <xf numFmtId="10" fontId="4" fillId="0" borderId="1" xfId="0" applyNumberFormat="1" applyFont="1" applyBorder="1" applyAlignment="1">
      <alignment wrapText="1"/>
    </xf>
    <xf numFmtId="0" fontId="4" fillId="0" borderId="0" xfId="0" applyFont="1"/>
    <xf numFmtId="1" fontId="4" fillId="0" borderId="1" xfId="0" applyNumberFormat="1" applyFont="1" applyBorder="1"/>
    <xf numFmtId="0" fontId="4" fillId="0" borderId="1" xfId="0" applyFont="1" applyFill="1" applyBorder="1"/>
    <xf numFmtId="0" fontId="15" fillId="0" borderId="1" xfId="0" applyFont="1" applyBorder="1"/>
    <xf numFmtId="0" fontId="0" fillId="0" borderId="1" xfId="0" applyFont="1" applyBorder="1" applyAlignment="1">
      <alignment wrapText="1"/>
    </xf>
    <xf numFmtId="0" fontId="4" fillId="2" borderId="0" xfId="0" applyFont="1" applyFill="1"/>
    <xf numFmtId="4" fontId="4" fillId="2" borderId="0" xfId="0" applyNumberFormat="1" applyFont="1" applyFill="1"/>
    <xf numFmtId="10" fontId="4" fillId="2" borderId="0" xfId="0" applyNumberFormat="1" applyFont="1" applyFill="1"/>
    <xf numFmtId="1" fontId="4" fillId="2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1" fontId="4" fillId="0" borderId="0" xfId="0" applyNumberFormat="1" applyFont="1"/>
    <xf numFmtId="0" fontId="0" fillId="0" borderId="1" xfId="0" applyFont="1" applyBorder="1"/>
    <xf numFmtId="15" fontId="4" fillId="0" borderId="0" xfId="0" applyNumberFormat="1" applyFont="1"/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14" fontId="9" fillId="0" borderId="0" xfId="0" applyNumberFormat="1" applyFont="1"/>
    <xf numFmtId="0" fontId="3" fillId="2" borderId="0" xfId="0" applyFont="1" applyFill="1"/>
    <xf numFmtId="0" fontId="3" fillId="0" borderId="1" xfId="0" applyFont="1" applyBorder="1"/>
    <xf numFmtId="4" fontId="3" fillId="0" borderId="0" xfId="0" applyNumberFormat="1" applyFont="1"/>
    <xf numFmtId="1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16" fillId="0" borderId="0" xfId="0" applyFont="1"/>
    <xf numFmtId="0" fontId="1" fillId="3" borderId="0" xfId="0" applyFont="1" applyFill="1"/>
    <xf numFmtId="0" fontId="4" fillId="3" borderId="0" xfId="0" applyFont="1" applyFill="1"/>
    <xf numFmtId="10" fontId="11" fillId="3" borderId="1" xfId="0" applyNumberFormat="1" applyFont="1" applyFill="1" applyBorder="1"/>
  </cellXfs>
  <cellStyles count="216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192</v>
      </c>
      <c r="O1" s="49" t="s">
        <v>193</v>
      </c>
      <c r="P1" s="49" t="s">
        <v>194</v>
      </c>
      <c r="Q1" s="7" t="s">
        <v>3</v>
      </c>
      <c r="R1" s="9" t="s">
        <v>70</v>
      </c>
      <c r="S1" s="23" t="s">
        <v>74</v>
      </c>
      <c r="T1" s="55" t="s">
        <v>224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38.06</v>
      </c>
      <c r="O2" s="6">
        <f>N2</f>
        <v>38.06</v>
      </c>
      <c r="P2" s="6">
        <f t="shared" ref="P2:P11" si="1">L2*O2</f>
        <v>837.32</v>
      </c>
      <c r="Q2" s="7"/>
      <c r="R2" s="7">
        <f t="shared" ref="R2:R12" si="2">(P2-H2)/H2</f>
        <v>-0.16185862144901997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70.8</v>
      </c>
      <c r="O3" s="6">
        <f>N3</f>
        <v>70.8</v>
      </c>
      <c r="P3" s="6">
        <f t="shared" si="1"/>
        <v>1132.8</v>
      </c>
      <c r="Q3" s="7">
        <f>(P2+P3)/P12</f>
        <v>0.1845474193398724</v>
      </c>
      <c r="R3" s="7">
        <f t="shared" si="2"/>
        <v>0.14935064935064929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121.42</v>
      </c>
      <c r="O4" s="6">
        <f>N4</f>
        <v>121.42</v>
      </c>
      <c r="P4" s="6">
        <f t="shared" si="1"/>
        <v>1092.78</v>
      </c>
      <c r="Q4" s="7"/>
      <c r="R4" s="7">
        <f t="shared" si="2"/>
        <v>7.1951973161472615E-2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23.1</v>
      </c>
      <c r="O5" s="6">
        <f>N5*B19</f>
        <v>26.294730000000005</v>
      </c>
      <c r="P5" s="6">
        <f t="shared" si="1"/>
        <v>1051.7892000000002</v>
      </c>
      <c r="Q5" s="7">
        <f>(P4+P5)/P12</f>
        <v>0.20088863188829853</v>
      </c>
      <c r="R5" s="7">
        <f t="shared" si="2"/>
        <v>5.8564009661835892E-2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80.94</v>
      </c>
      <c r="O6" s="6">
        <f>N6*B21</f>
        <v>53.388023999999994</v>
      </c>
      <c r="P6" s="6">
        <f t="shared" si="1"/>
        <v>1281.3125759999998</v>
      </c>
      <c r="Q6" s="7"/>
      <c r="R6" s="7">
        <f t="shared" si="2"/>
        <v>0.27356927480916005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39.97</v>
      </c>
      <c r="O7" s="6">
        <f>N7*B18</f>
        <v>34.166356</v>
      </c>
      <c r="P7" s="6">
        <f t="shared" si="1"/>
        <v>1093.323392</v>
      </c>
      <c r="Q7" s="7">
        <f>(P6+P7)/P12</f>
        <v>0.22243971928920053</v>
      </c>
      <c r="R7" s="7">
        <f t="shared" si="2"/>
        <v>0.1017851015801354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144.26</v>
      </c>
      <c r="O8" s="6">
        <f>N8*B18</f>
        <v>123.31344799999999</v>
      </c>
      <c r="P8" s="6">
        <f t="shared" si="1"/>
        <v>1109.8210319999998</v>
      </c>
      <c r="Q8" s="7"/>
      <c r="R8" s="7">
        <f t="shared" si="2"/>
        <v>0.12215349895349879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73.83</v>
      </c>
      <c r="O9" s="6">
        <f>N9*B18</f>
        <v>63.109884000000001</v>
      </c>
      <c r="P9" s="6">
        <f t="shared" si="1"/>
        <v>1451.5273320000001</v>
      </c>
      <c r="Q9" s="7">
        <f>(P8+P9)/P12</f>
        <v>0.23992966449079456</v>
      </c>
      <c r="R9" s="7">
        <f t="shared" si="2"/>
        <v>0.4281485403937545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56.02</v>
      </c>
      <c r="O10" s="6">
        <f>N10*B18</f>
        <v>47.885896000000002</v>
      </c>
      <c r="P10" s="6">
        <f t="shared" si="1"/>
        <v>861.94612800000004</v>
      </c>
      <c r="Q10" s="7">
        <f>P10/P12</f>
        <v>8.0741240905323197E-2</v>
      </c>
      <c r="R10" s="7">
        <f t="shared" si="2"/>
        <v>-0.10777164151294952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211.23</v>
      </c>
      <c r="O11" s="6">
        <f>N11*B22</f>
        <v>20.616047999999999</v>
      </c>
      <c r="P11" s="6">
        <f t="shared" si="1"/>
        <v>762.79377599999998</v>
      </c>
      <c r="Q11" s="7">
        <f>P11/P12</f>
        <v>7.1453324086510825E-2</v>
      </c>
      <c r="R11" s="7">
        <f t="shared" si="2"/>
        <v>-0.23131812080536918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10675.413435999999</v>
      </c>
      <c r="Q12" s="12"/>
      <c r="R12" s="12">
        <f t="shared" si="2"/>
        <v>7.1846952809435399E-2</v>
      </c>
      <c r="S12" s="12"/>
      <c r="T12" s="12">
        <f>AVERAGE(T2:T11)</f>
        <v>1.755E-2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2121.85</v>
      </c>
      <c r="O14" s="15"/>
      <c r="P14" s="15"/>
      <c r="Q14" s="16"/>
      <c r="R14" s="16">
        <f>(N14-K14)/K14</f>
        <v>8.9508248910157961E-2</v>
      </c>
      <c r="S14" s="16"/>
    </row>
    <row r="17" spans="1:3">
      <c r="A17" s="35" t="s">
        <v>117</v>
      </c>
      <c r="B17" s="50" t="s">
        <v>221</v>
      </c>
    </row>
    <row r="18" spans="1:3">
      <c r="A18" s="35" t="s">
        <v>22</v>
      </c>
      <c r="B18" s="35">
        <v>0.8548</v>
      </c>
    </row>
    <row r="19" spans="1:3">
      <c r="A19" s="35" t="s">
        <v>177</v>
      </c>
      <c r="B19" s="1">
        <v>1.1383000000000001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0.65959999999999996</v>
      </c>
    </row>
    <row r="22" spans="1:3">
      <c r="A22" s="35" t="s">
        <v>50</v>
      </c>
      <c r="B22" s="35">
        <v>9.7600000000000006E-2</v>
      </c>
    </row>
    <row r="25" spans="1:3">
      <c r="A25" s="50" t="s">
        <v>195</v>
      </c>
      <c r="B25" s="51">
        <v>43256</v>
      </c>
      <c r="C25" s="58" t="s">
        <v>231</v>
      </c>
    </row>
    <row r="26" spans="1:3">
      <c r="A26" s="50" t="s">
        <v>196</v>
      </c>
      <c r="B26" s="2">
        <v>0.75</v>
      </c>
    </row>
    <row r="29" spans="1:3">
      <c r="A29" s="50" t="s">
        <v>222</v>
      </c>
    </row>
    <row r="30" spans="1:3">
      <c r="A30" s="50" t="s">
        <v>223</v>
      </c>
      <c r="B30" s="54">
        <v>1.2</v>
      </c>
    </row>
    <row r="31" spans="1:3">
      <c r="A31" s="50"/>
    </row>
  </sheetData>
  <phoneticPr fontId="14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192</v>
      </c>
      <c r="O1" s="49" t="s">
        <v>193</v>
      </c>
      <c r="P1" s="49" t="s">
        <v>194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618</v>
      </c>
      <c r="O2" s="33">
        <f>N2*B19</f>
        <v>82.935600000000008</v>
      </c>
      <c r="P2" s="33">
        <f t="shared" ref="P2:P11" si="1">L2*O2</f>
        <v>1161.0984000000001</v>
      </c>
      <c r="Q2" s="31"/>
      <c r="R2" s="29"/>
      <c r="S2" s="31">
        <f t="shared" ref="S2:S12" si="2">(P2-H2)/H2</f>
        <v>0.14816535067347883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334</v>
      </c>
      <c r="O3" s="33">
        <f>N3</f>
        <v>334</v>
      </c>
      <c r="P3" s="33">
        <f t="shared" si="1"/>
        <v>668</v>
      </c>
      <c r="Q3" s="31">
        <f>(P2+P3)/P12</f>
        <v>0.17899321282938779</v>
      </c>
      <c r="R3" s="33"/>
      <c r="S3" s="31">
        <f t="shared" si="2"/>
        <v>-0.19808115706805021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437.2</v>
      </c>
      <c r="O4" s="33">
        <f>N4*B18</f>
        <v>379.09611999999998</v>
      </c>
      <c r="P4" s="33">
        <f t="shared" si="1"/>
        <v>1137.28836</v>
      </c>
      <c r="Q4" s="31"/>
      <c r="R4" s="33"/>
      <c r="S4" s="31">
        <f t="shared" si="2"/>
        <v>-5.5908895346816062E-2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52.91</v>
      </c>
      <c r="O5" s="33">
        <f>N5</f>
        <v>52.91</v>
      </c>
      <c r="P5" s="33">
        <f t="shared" si="1"/>
        <v>952.37999999999988</v>
      </c>
      <c r="Q5" s="31"/>
      <c r="R5" s="33"/>
      <c r="S5" s="31">
        <f t="shared" si="2"/>
        <v>-2.0964787299002769E-2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337.93</v>
      </c>
      <c r="O6" s="33">
        <f>N6*B17</f>
        <v>288.86256400000002</v>
      </c>
      <c r="P6" s="33">
        <f t="shared" si="1"/>
        <v>1155.4502560000001</v>
      </c>
      <c r="Q6" s="31">
        <f>(P4+P5+P6)/P12</f>
        <v>0.31756312677890719</v>
      </c>
      <c r="R6" s="33"/>
      <c r="S6" s="31">
        <f t="shared" si="2"/>
        <v>0.29277757011888816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1665.27</v>
      </c>
      <c r="O7" s="33">
        <f>N7*B17</f>
        <v>1423.472796</v>
      </c>
      <c r="P7" s="33">
        <f t="shared" si="1"/>
        <v>1423.472796</v>
      </c>
      <c r="Q7" s="31"/>
      <c r="R7" s="33"/>
      <c r="S7" s="31">
        <f t="shared" si="2"/>
        <v>0.7322390338411866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47.01</v>
      </c>
      <c r="O8" s="33">
        <f>N8*B17</f>
        <v>40.184148</v>
      </c>
      <c r="P8" s="33">
        <f t="shared" si="1"/>
        <v>1004.6037</v>
      </c>
      <c r="Q8" s="31">
        <f>(P7+P8)/P12</f>
        <v>0.23760843758573194</v>
      </c>
      <c r="R8" s="33"/>
      <c r="S8" s="31">
        <f t="shared" si="2"/>
        <v>-7.6102607643600689E-3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237.41</v>
      </c>
      <c r="O9" s="33">
        <f>N9*B17</f>
        <v>202.93806799999999</v>
      </c>
      <c r="P9" s="33">
        <f t="shared" si="1"/>
        <v>811.75227199999995</v>
      </c>
      <c r="Q9" s="31">
        <f>(P9)/P12</f>
        <v>7.9437031483289844E-2</v>
      </c>
      <c r="R9" s="33"/>
      <c r="S9" s="31">
        <f t="shared" si="2"/>
        <v>-0.11890140973426112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83.52</v>
      </c>
      <c r="O10" s="33">
        <f>N10</f>
        <v>83.52</v>
      </c>
      <c r="P10" s="33">
        <f t="shared" si="1"/>
        <v>835.19999999999993</v>
      </c>
      <c r="Q10" s="31">
        <f>(P10)/P12</f>
        <v>8.1731595935519194E-2</v>
      </c>
      <c r="R10" s="33"/>
      <c r="S10" s="31">
        <f t="shared" si="2"/>
        <v>-0.21021276595744687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50.05</v>
      </c>
      <c r="O11" s="33">
        <f>N11*B17</f>
        <v>42.782739999999997</v>
      </c>
      <c r="P11" s="33">
        <f t="shared" si="1"/>
        <v>1069.5684999999999</v>
      </c>
      <c r="Q11" s="31">
        <f>(P11)/P12</f>
        <v>0.10466659538716398</v>
      </c>
      <c r="R11" s="33"/>
      <c r="S11" s="31">
        <f t="shared" si="2"/>
        <v>6.9140175717103208E-2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10218.814284</v>
      </c>
      <c r="Q12" s="12">
        <f>SUM(Q2:Q11)</f>
        <v>0.99999999999999989</v>
      </c>
      <c r="R12" s="11"/>
      <c r="S12" s="12">
        <f t="shared" si="2"/>
        <v>5.0377230992214861E-2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2121.85</v>
      </c>
      <c r="O14" s="41"/>
      <c r="P14" s="41"/>
      <c r="Q14" s="42"/>
      <c r="R14" s="41" t="s">
        <v>64</v>
      </c>
      <c r="S14" s="42">
        <f>(N14-K14)/K14</f>
        <v>5.5150163157041514E-2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0.8548</v>
      </c>
    </row>
    <row r="18" spans="1:3">
      <c r="A18" s="35" t="s">
        <v>90</v>
      </c>
      <c r="B18" s="35">
        <v>0.86709999999999998</v>
      </c>
    </row>
    <row r="19" spans="1:3">
      <c r="A19" s="35" t="s">
        <v>83</v>
      </c>
      <c r="B19" s="35">
        <v>0.13420000000000001</v>
      </c>
    </row>
    <row r="22" spans="1:3">
      <c r="A22" s="50" t="s">
        <v>195</v>
      </c>
      <c r="B22" s="51">
        <f>'170830_langfr_Geldanlage'!B25</f>
        <v>43256</v>
      </c>
      <c r="C22" s="58" t="str">
        <f>'170830_langfr_Geldanlage'!C25</f>
        <v>12 Uhr sowie für US-Werte 04.06.2018 nach Börsenschluss</v>
      </c>
    </row>
    <row r="23" spans="1:3">
      <c r="A23" s="50" t="s">
        <v>196</v>
      </c>
      <c r="B23" s="44">
        <v>0.67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192</v>
      </c>
      <c r="O1" s="49" t="s">
        <v>193</v>
      </c>
      <c r="P1" s="49" t="s">
        <v>194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119.78</v>
      </c>
      <c r="O2" s="33">
        <f>N2*B18</f>
        <v>102.387944</v>
      </c>
      <c r="P2" s="33">
        <f t="shared" ref="P2:P10" si="1">L2*O2</f>
        <v>819.10355200000004</v>
      </c>
      <c r="Q2" s="31"/>
      <c r="R2" s="29"/>
      <c r="S2" s="31">
        <f t="shared" ref="S2:S11" si="2">(P2-H2)/H2</f>
        <v>-0.15167648754037624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73.8</v>
      </c>
      <c r="O3" s="33">
        <f>N3*B18</f>
        <v>63.084240000000001</v>
      </c>
      <c r="P3" s="33">
        <f t="shared" si="1"/>
        <v>883.17935999999997</v>
      </c>
      <c r="Q3" s="31">
        <f>(P2+P3)/P11</f>
        <v>0.17702079875398072</v>
      </c>
      <c r="R3" s="33"/>
      <c r="S3" s="31">
        <f t="shared" si="2"/>
        <v>-0.14399167116997488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73.83</v>
      </c>
      <c r="O4" s="33">
        <f>N4*B18</f>
        <v>63.109884000000001</v>
      </c>
      <c r="P4" s="33">
        <f t="shared" si="1"/>
        <v>1388.4174479999999</v>
      </c>
      <c r="Q4" s="31"/>
      <c r="R4" s="33"/>
      <c r="S4" s="31">
        <f t="shared" si="2"/>
        <v>0.42397377410490689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59.04</v>
      </c>
      <c r="O5" s="33">
        <f>N5*B19</f>
        <v>67.205232000000009</v>
      </c>
      <c r="P5" s="33">
        <f t="shared" si="1"/>
        <v>1142.4889440000002</v>
      </c>
      <c r="Q5" s="31">
        <f>(P4+P5)/P11</f>
        <v>0.26318954853222154</v>
      </c>
      <c r="R5" s="33"/>
      <c r="S5" s="31">
        <f t="shared" si="2"/>
        <v>0.13844510161567872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214.05</v>
      </c>
      <c r="O6" s="33">
        <f>N6*B18</f>
        <v>182.96994000000001</v>
      </c>
      <c r="P6" s="33">
        <f t="shared" si="1"/>
        <v>1097.8196400000002</v>
      </c>
      <c r="Q6" s="31"/>
      <c r="R6" s="33"/>
      <c r="S6" s="31">
        <f t="shared" si="2"/>
        <v>6.2310785104674185E-3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108.02</v>
      </c>
      <c r="O7" s="33">
        <f>N7*B18</f>
        <v>92.335495999999992</v>
      </c>
      <c r="P7" s="33">
        <f t="shared" si="1"/>
        <v>1292.6969439999998</v>
      </c>
      <c r="Q7" s="31">
        <f>(P6+P7)/P11</f>
        <v>0.24859037951402368</v>
      </c>
      <c r="R7" s="33"/>
      <c r="S7" s="31">
        <f t="shared" si="2"/>
        <v>0.29600254104120494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52.6</v>
      </c>
      <c r="O8" s="33">
        <f>N8</f>
        <v>52.6</v>
      </c>
      <c r="P8" s="33">
        <f t="shared" si="1"/>
        <v>946.80000000000007</v>
      </c>
      <c r="Q8" s="31">
        <f>(P8)/P11</f>
        <v>9.8457953774177889E-2</v>
      </c>
      <c r="R8" s="33"/>
      <c r="S8" s="31">
        <f t="shared" si="2"/>
        <v>-5.8865628913938005E-2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17.350000000000001</v>
      </c>
      <c r="O9" s="33">
        <f>N9</f>
        <v>17.350000000000001</v>
      </c>
      <c r="P9" s="33">
        <f t="shared" si="1"/>
        <v>902.2</v>
      </c>
      <c r="Q9" s="31">
        <f>(P9)/P11</f>
        <v>9.3819989327274284E-2</v>
      </c>
      <c r="R9" s="33"/>
      <c r="S9" s="31">
        <f t="shared" si="2"/>
        <v>-0.10520887055183077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10.92</v>
      </c>
      <c r="O10" s="33">
        <f>N10*B19</f>
        <v>12.430236000000001</v>
      </c>
      <c r="P10" s="33">
        <f t="shared" si="1"/>
        <v>1143.5817120000002</v>
      </c>
      <c r="Q10" s="31">
        <f>(P10)/P11</f>
        <v>0.11892133009832195</v>
      </c>
      <c r="R10" s="33"/>
      <c r="S10" s="31">
        <f t="shared" si="2"/>
        <v>0.13448280818865671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9616.2875999999997</v>
      </c>
      <c r="Q11" s="12">
        <f>SUM(Q2:Q10)</f>
        <v>1</v>
      </c>
      <c r="R11" s="11"/>
      <c r="S11" s="12">
        <f t="shared" si="2"/>
        <v>5.8285047381064492E-2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2121.85</v>
      </c>
      <c r="O13" s="41"/>
      <c r="P13" s="41"/>
      <c r="Q13" s="42"/>
      <c r="R13" s="41" t="s">
        <v>149</v>
      </c>
      <c r="S13" s="42">
        <f>(N13-K13)/K13</f>
        <v>5.5150163157041514E-2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0.8548</v>
      </c>
    </row>
    <row r="19" spans="1:2">
      <c r="A19" s="35" t="s">
        <v>130</v>
      </c>
      <c r="B19" s="35">
        <f>'170830_langfr_Geldanlage'!B19</f>
        <v>1.1383000000000001</v>
      </c>
    </row>
    <row r="21" spans="1:2">
      <c r="A21" s="50" t="s">
        <v>195</v>
      </c>
      <c r="B21" s="51">
        <f>'170830_langfr_Geldanlage'!B25</f>
        <v>43256</v>
      </c>
    </row>
    <row r="22" spans="1:2">
      <c r="A22" s="50" t="s">
        <v>196</v>
      </c>
      <c r="B22" s="44">
        <f>'171004_langfr_Geldanlage'!B23</f>
        <v>0.67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3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0" sqref="U10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5.16406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3.1640625" style="45" customWidth="1"/>
    <col min="12" max="12" width="11.1640625" style="44" customWidth="1"/>
    <col min="13" max="13" width="7" style="46" bestFit="1" customWidth="1"/>
    <col min="14" max="14" width="8.33203125" style="44" bestFit="1" customWidth="1"/>
    <col min="15" max="17" width="10.5" style="44" customWidth="1"/>
    <col min="18" max="18" width="10.5" style="45" customWidth="1"/>
    <col min="19" max="19" width="18.33203125" style="44" bestFit="1" customWidth="1"/>
    <col min="20" max="20" width="11.83203125" style="45" customWidth="1"/>
    <col min="21" max="21" width="12.6640625" style="45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4" t="s">
        <v>151</v>
      </c>
      <c r="L1" s="30" t="s">
        <v>71</v>
      </c>
      <c r="M1" s="32" t="s">
        <v>73</v>
      </c>
      <c r="N1" s="33" t="s">
        <v>55</v>
      </c>
      <c r="O1" s="49" t="s">
        <v>192</v>
      </c>
      <c r="P1" s="49" t="s">
        <v>193</v>
      </c>
      <c r="Q1" s="49" t="s">
        <v>194</v>
      </c>
      <c r="R1" s="31" t="s">
        <v>3</v>
      </c>
      <c r="S1" s="29" t="s">
        <v>51</v>
      </c>
      <c r="T1" s="34" t="s">
        <v>70</v>
      </c>
      <c r="U1" s="34" t="s">
        <v>74</v>
      </c>
    </row>
    <row r="2" spans="1:21">
      <c r="A2" s="29" t="s">
        <v>38</v>
      </c>
      <c r="B2" s="29" t="s">
        <v>152</v>
      </c>
      <c r="C2" s="29" t="s">
        <v>153</v>
      </c>
      <c r="D2" s="29" t="s">
        <v>154</v>
      </c>
      <c r="E2" s="29" t="s">
        <v>10</v>
      </c>
      <c r="F2" s="29" t="s">
        <v>155</v>
      </c>
      <c r="G2" s="29" t="s">
        <v>16</v>
      </c>
      <c r="H2" s="33">
        <f t="shared" ref="H2:H9" si="0">M2*N2</f>
        <v>1003.3199999999999</v>
      </c>
      <c r="I2" s="31"/>
      <c r="J2" s="29" t="s">
        <v>60</v>
      </c>
      <c r="K2" s="31">
        <v>0.46500000000000002</v>
      </c>
      <c r="L2" s="33">
        <v>18.579999999999998</v>
      </c>
      <c r="M2" s="36">
        <v>54</v>
      </c>
      <c r="N2" s="33">
        <f>L2</f>
        <v>18.579999999999998</v>
      </c>
      <c r="O2" s="33">
        <v>15.67</v>
      </c>
      <c r="P2" s="33">
        <f>O2</f>
        <v>15.67</v>
      </c>
      <c r="Q2" s="33">
        <f t="shared" ref="Q2:Q9" si="1">M2*P2</f>
        <v>846.18</v>
      </c>
      <c r="R2" s="31"/>
      <c r="S2" s="29"/>
      <c r="T2" s="31">
        <f t="shared" ref="T2:T10" si="2">(Q2-H2)/H2</f>
        <v>-0.15662002152852531</v>
      </c>
      <c r="U2" s="31"/>
    </row>
    <row r="3" spans="1:21">
      <c r="A3" s="29" t="s">
        <v>38</v>
      </c>
      <c r="B3" s="47" t="s">
        <v>156</v>
      </c>
      <c r="C3" s="29" t="s">
        <v>157</v>
      </c>
      <c r="D3" s="29" t="s">
        <v>158</v>
      </c>
      <c r="E3" s="29" t="s">
        <v>20</v>
      </c>
      <c r="F3" s="29" t="s">
        <v>21</v>
      </c>
      <c r="G3" s="29" t="s">
        <v>22</v>
      </c>
      <c r="H3" s="33">
        <f t="shared" si="0"/>
        <v>922.82652000000007</v>
      </c>
      <c r="I3" s="31">
        <f>(H2+H3)/H10</f>
        <v>0.24373056340860216</v>
      </c>
      <c r="J3" s="29" t="s">
        <v>60</v>
      </c>
      <c r="K3" s="31">
        <v>0.38</v>
      </c>
      <c r="L3" s="33">
        <v>120.56</v>
      </c>
      <c r="M3" s="36">
        <v>9</v>
      </c>
      <c r="N3" s="33">
        <f>L3*0.8505</f>
        <v>102.53628</v>
      </c>
      <c r="O3" s="33">
        <v>151.16</v>
      </c>
      <c r="P3" s="33">
        <f>O3*B17</f>
        <v>129.211568</v>
      </c>
      <c r="Q3" s="33">
        <f t="shared" si="1"/>
        <v>1162.9041119999999</v>
      </c>
      <c r="R3" s="31">
        <f>(Q2+Q3)/Q10</f>
        <v>0.22019334531032109</v>
      </c>
      <c r="S3" s="33"/>
      <c r="T3" s="31">
        <f t="shared" si="2"/>
        <v>0.26015463014651968</v>
      </c>
      <c r="U3" s="31"/>
    </row>
    <row r="4" spans="1:21">
      <c r="A4" s="29" t="s">
        <v>25</v>
      </c>
      <c r="B4" s="29" t="s">
        <v>159</v>
      </c>
      <c r="C4" s="29" t="s">
        <v>160</v>
      </c>
      <c r="D4" s="29" t="s">
        <v>161</v>
      </c>
      <c r="E4" s="29" t="s">
        <v>20</v>
      </c>
      <c r="F4" s="29" t="s">
        <v>21</v>
      </c>
      <c r="G4" s="29" t="s">
        <v>22</v>
      </c>
      <c r="H4" s="33">
        <f t="shared" si="0"/>
        <v>934.61445000000003</v>
      </c>
      <c r="I4" s="31"/>
      <c r="J4" s="29" t="s">
        <v>53</v>
      </c>
      <c r="K4" s="31">
        <v>0.48599999999999999</v>
      </c>
      <c r="L4" s="33">
        <v>99.9</v>
      </c>
      <c r="M4" s="36">
        <v>11</v>
      </c>
      <c r="N4" s="33">
        <f>L4*0.8505</f>
        <v>84.964950000000002</v>
      </c>
      <c r="O4" s="33">
        <v>156.94999999999999</v>
      </c>
      <c r="P4" s="33">
        <f>O4*B17</f>
        <v>134.16085999999999</v>
      </c>
      <c r="Q4" s="33">
        <f t="shared" si="1"/>
        <v>1475.7694599999998</v>
      </c>
      <c r="R4" s="31"/>
      <c r="S4" s="33"/>
      <c r="T4" s="31">
        <f t="shared" si="2"/>
        <v>0.57901416996067168</v>
      </c>
      <c r="U4" s="31"/>
    </row>
    <row r="5" spans="1:21">
      <c r="A5" s="29" t="s">
        <v>25</v>
      </c>
      <c r="B5" s="29" t="s">
        <v>162</v>
      </c>
      <c r="C5" s="29" t="s">
        <v>163</v>
      </c>
      <c r="D5" s="29" t="s">
        <v>164</v>
      </c>
      <c r="E5" s="29" t="s">
        <v>10</v>
      </c>
      <c r="F5" s="29" t="s">
        <v>141</v>
      </c>
      <c r="G5" s="29" t="s">
        <v>16</v>
      </c>
      <c r="H5" s="33">
        <f t="shared" si="0"/>
        <v>993.72</v>
      </c>
      <c r="I5" s="31">
        <f>(H4+H5)/H10</f>
        <v>0.24400741950758606</v>
      </c>
      <c r="J5" s="29" t="s">
        <v>53</v>
      </c>
      <c r="K5" s="31">
        <v>0.63</v>
      </c>
      <c r="L5" s="33">
        <v>38.22</v>
      </c>
      <c r="M5" s="36">
        <v>26</v>
      </c>
      <c r="N5" s="33">
        <f>L5</f>
        <v>38.22</v>
      </c>
      <c r="O5" s="33">
        <v>49.9</v>
      </c>
      <c r="P5" s="33">
        <f>O5</f>
        <v>49.9</v>
      </c>
      <c r="Q5" s="33">
        <f t="shared" si="1"/>
        <v>1297.3999999999999</v>
      </c>
      <c r="R5" s="31">
        <f>(Q4+Q5)/Q10</f>
        <v>0.30393623485576426</v>
      </c>
      <c r="S5" s="33"/>
      <c r="T5" s="31">
        <f t="shared" si="2"/>
        <v>0.3055991627420197</v>
      </c>
      <c r="U5" s="31"/>
    </row>
    <row r="6" spans="1:21">
      <c r="A6" s="29" t="s">
        <v>46</v>
      </c>
      <c r="B6" s="29" t="s">
        <v>165</v>
      </c>
      <c r="C6" s="29" t="s">
        <v>166</v>
      </c>
      <c r="D6" s="29" t="s">
        <v>167</v>
      </c>
      <c r="E6" s="29" t="s">
        <v>10</v>
      </c>
      <c r="F6" s="29" t="s">
        <v>129</v>
      </c>
      <c r="G6" s="29" t="s">
        <v>130</v>
      </c>
      <c r="H6" s="33">
        <f t="shared" si="0"/>
        <v>994.81819499999995</v>
      </c>
      <c r="I6" s="31"/>
      <c r="J6" s="29" t="s">
        <v>53</v>
      </c>
      <c r="K6" s="31">
        <v>0.3</v>
      </c>
      <c r="L6" s="33">
        <v>14.03</v>
      </c>
      <c r="M6" s="36">
        <v>63</v>
      </c>
      <c r="N6" s="33">
        <f>L6*1.1255</f>
        <v>15.790764999999999</v>
      </c>
      <c r="O6" s="33">
        <v>12.08</v>
      </c>
      <c r="P6" s="33">
        <f>O6*B18</f>
        <v>13.750664</v>
      </c>
      <c r="Q6" s="33">
        <f t="shared" si="1"/>
        <v>866.291832</v>
      </c>
      <c r="R6" s="31"/>
      <c r="S6" s="33"/>
      <c r="T6" s="31">
        <f t="shared" si="2"/>
        <v>-0.1291958306009873</v>
      </c>
      <c r="U6" s="31"/>
    </row>
    <row r="7" spans="1:21">
      <c r="A7" s="29" t="s">
        <v>46</v>
      </c>
      <c r="B7" s="47" t="s">
        <v>168</v>
      </c>
      <c r="C7" s="29" t="s">
        <v>169</v>
      </c>
      <c r="D7" s="29" t="s">
        <v>170</v>
      </c>
      <c r="E7" s="29" t="s">
        <v>10</v>
      </c>
      <c r="F7" s="29" t="s">
        <v>145</v>
      </c>
      <c r="G7" s="29" t="s">
        <v>16</v>
      </c>
      <c r="H7" s="33">
        <f t="shared" si="0"/>
        <v>1009.6</v>
      </c>
      <c r="I7" s="31">
        <f>(H6+H7)/H10</f>
        <v>0.25363489791721733</v>
      </c>
      <c r="J7" s="29" t="s">
        <v>53</v>
      </c>
      <c r="K7" s="31">
        <v>0.33800000000000002</v>
      </c>
      <c r="L7" s="33">
        <v>31.55</v>
      </c>
      <c r="M7" s="36">
        <v>32</v>
      </c>
      <c r="N7" s="33">
        <f>L7</f>
        <v>31.55</v>
      </c>
      <c r="O7" s="33">
        <v>31.66</v>
      </c>
      <c r="P7" s="33">
        <f>O7</f>
        <v>31.66</v>
      </c>
      <c r="Q7" s="33">
        <f t="shared" si="1"/>
        <v>1013.12</v>
      </c>
      <c r="R7" s="31">
        <f>(Q6+Q7)/Q10</f>
        <v>0.20598141015206989</v>
      </c>
      <c r="S7" s="33"/>
      <c r="T7" s="31">
        <f t="shared" si="2"/>
        <v>3.4865293185419787E-3</v>
      </c>
      <c r="U7" s="31"/>
    </row>
    <row r="8" spans="1:21">
      <c r="A8" s="29" t="s">
        <v>4</v>
      </c>
      <c r="B8" s="29" t="s">
        <v>171</v>
      </c>
      <c r="C8" s="29" t="s">
        <v>172</v>
      </c>
      <c r="D8" s="29" t="s">
        <v>173</v>
      </c>
      <c r="E8" s="29" t="s">
        <v>20</v>
      </c>
      <c r="F8" s="29" t="s">
        <v>21</v>
      </c>
      <c r="G8" s="29" t="s">
        <v>22</v>
      </c>
      <c r="H8" s="33">
        <f t="shared" si="0"/>
        <v>1049.92524</v>
      </c>
      <c r="I8" s="31">
        <f>(H8)/H10</f>
        <v>0.13285535011226032</v>
      </c>
      <c r="J8" s="29" t="s">
        <v>53</v>
      </c>
      <c r="K8" s="31">
        <v>0.47299999999999998</v>
      </c>
      <c r="L8" s="33">
        <v>154.31</v>
      </c>
      <c r="M8" s="36">
        <v>8</v>
      </c>
      <c r="N8" s="33">
        <f>L8*0.8505</f>
        <v>131.240655</v>
      </c>
      <c r="O8" s="33">
        <v>158.55000000000001</v>
      </c>
      <c r="P8" s="33">
        <f>O8*B17</f>
        <v>135.52854000000002</v>
      </c>
      <c r="Q8" s="33">
        <f t="shared" si="1"/>
        <v>1084.2283200000002</v>
      </c>
      <c r="R8" s="31">
        <f>(Q8)/Q10</f>
        <v>0.11883019702113365</v>
      </c>
      <c r="S8" s="29"/>
      <c r="T8" s="31">
        <f t="shared" si="2"/>
        <v>3.2671926241148501E-2</v>
      </c>
      <c r="U8" s="31"/>
    </row>
    <row r="9" spans="1:21">
      <c r="A9" s="29" t="s">
        <v>17</v>
      </c>
      <c r="B9" s="29" t="s">
        <v>174</v>
      </c>
      <c r="C9" s="29" t="s">
        <v>175</v>
      </c>
      <c r="D9" s="29" t="s">
        <v>176</v>
      </c>
      <c r="E9" s="29" t="s">
        <v>20</v>
      </c>
      <c r="F9" s="29" t="s">
        <v>21</v>
      </c>
      <c r="G9" s="29" t="s">
        <v>22</v>
      </c>
      <c r="H9" s="33">
        <f t="shared" si="0"/>
        <v>993.94533000000001</v>
      </c>
      <c r="I9" s="31">
        <f>(H9)/H10</f>
        <v>0.12577176905433393</v>
      </c>
      <c r="J9" s="29" t="s">
        <v>53</v>
      </c>
      <c r="K9" s="31">
        <v>0.68</v>
      </c>
      <c r="L9" s="33">
        <v>16.46</v>
      </c>
      <c r="M9" s="36">
        <v>71</v>
      </c>
      <c r="N9" s="33">
        <f>L9*0.8505</f>
        <v>13.999230000000001</v>
      </c>
      <c r="O9" s="33">
        <v>22.71</v>
      </c>
      <c r="P9" s="33">
        <f>O9*B17</f>
        <v>19.412508000000003</v>
      </c>
      <c r="Q9" s="33">
        <f t="shared" si="1"/>
        <v>1378.2880680000003</v>
      </c>
      <c r="R9" s="31">
        <f>(Q9)/Q10</f>
        <v>0.15105881266071122</v>
      </c>
      <c r="S9" s="33"/>
      <c r="T9" s="31">
        <f t="shared" si="2"/>
        <v>0.38668398190471931</v>
      </c>
      <c r="U9" s="31"/>
    </row>
    <row r="10" spans="1:21" s="4" customFormat="1">
      <c r="A10" s="10"/>
      <c r="B10" s="10"/>
      <c r="C10" s="10"/>
      <c r="D10" s="10"/>
      <c r="E10" s="10"/>
      <c r="F10" s="10"/>
      <c r="G10" s="10"/>
      <c r="H10" s="11">
        <f>SUM(H2:H9)</f>
        <v>7902.7697350000017</v>
      </c>
      <c r="I10" s="12">
        <f>SUM(I2:I9)</f>
        <v>0.99999999999999978</v>
      </c>
      <c r="J10" s="10"/>
      <c r="K10" s="12"/>
      <c r="L10" s="11"/>
      <c r="M10" s="19"/>
      <c r="N10" s="11"/>
      <c r="O10" s="11"/>
      <c r="P10" s="11"/>
      <c r="Q10" s="11">
        <f>SUM(Q2:Q9)</f>
        <v>9124.1817919999994</v>
      </c>
      <c r="R10" s="12">
        <f>SUM(R2:R9)</f>
        <v>1.0000000000000002</v>
      </c>
      <c r="S10" s="11"/>
      <c r="T10" s="61">
        <f t="shared" si="2"/>
        <v>0.15455493427710221</v>
      </c>
      <c r="U10" s="61">
        <v>0.2392</v>
      </c>
    </row>
    <row r="12" spans="1:21">
      <c r="A12" s="40" t="s">
        <v>72</v>
      </c>
      <c r="B12" s="40"/>
      <c r="C12" s="40"/>
      <c r="D12" s="40"/>
      <c r="E12" s="40"/>
      <c r="F12" s="40"/>
      <c r="G12" s="40"/>
      <c r="H12" s="41"/>
      <c r="I12" s="42"/>
      <c r="J12" s="40" t="s">
        <v>64</v>
      </c>
      <c r="K12" s="42"/>
      <c r="L12" s="41">
        <v>2010.9459999999999</v>
      </c>
      <c r="M12" s="43"/>
      <c r="N12" s="41"/>
      <c r="O12" s="41">
        <f>'170830_langfr_Geldanlage'!N14</f>
        <v>2121.85</v>
      </c>
      <c r="P12" s="41"/>
      <c r="Q12" s="41"/>
      <c r="R12" s="42"/>
      <c r="S12" s="41" t="s">
        <v>64</v>
      </c>
      <c r="T12" s="42">
        <f>(O12-L12)/L12</f>
        <v>5.5150163157041514E-2</v>
      </c>
      <c r="U12" s="42"/>
    </row>
    <row r="15" spans="1:21">
      <c r="A15" s="35" t="s">
        <v>150</v>
      </c>
      <c r="B15" s="48">
        <v>43012</v>
      </c>
    </row>
    <row r="17" spans="1:3">
      <c r="A17" s="35" t="s">
        <v>22</v>
      </c>
      <c r="B17" s="35">
        <f>'170830_langfr_Geldanlage'!B18</f>
        <v>0.8548</v>
      </c>
    </row>
    <row r="18" spans="1:3">
      <c r="A18" s="35" t="s">
        <v>130</v>
      </c>
      <c r="B18" s="35">
        <f>'170830_langfr_Geldanlage'!B19</f>
        <v>1.1383000000000001</v>
      </c>
    </row>
    <row r="21" spans="1:3">
      <c r="A21" s="50" t="s">
        <v>195</v>
      </c>
      <c r="B21" s="51">
        <f>'170830_langfr_Geldanlage'!B25</f>
        <v>43256</v>
      </c>
      <c r="C21" s="58" t="str">
        <f>'170830_langfr_Geldanlage'!C25</f>
        <v>12 Uhr sowie für US-Werte 04.06.2018 nach Börsenschluss</v>
      </c>
    </row>
    <row r="22" spans="1:3">
      <c r="A22" s="50" t="s">
        <v>196</v>
      </c>
      <c r="B22" s="44">
        <f>'171004_langfr_Geldanlage'!B23</f>
        <v>0.67</v>
      </c>
    </row>
    <row r="25" spans="1:3">
      <c r="A25" s="59" t="s">
        <v>232</v>
      </c>
      <c r="B25" s="60"/>
    </row>
    <row r="26" spans="1:3">
      <c r="A26" s="59" t="s">
        <v>233</v>
      </c>
      <c r="B26" s="60"/>
    </row>
    <row r="27" spans="1:3">
      <c r="A27" s="59" t="s">
        <v>235</v>
      </c>
      <c r="B27" s="60"/>
    </row>
    <row r="28" spans="1:3">
      <c r="A28" s="59" t="s">
        <v>236</v>
      </c>
      <c r="B28" s="60"/>
      <c r="C28" s="60"/>
    </row>
    <row r="29" spans="1:3">
      <c r="A29" s="59" t="s">
        <v>237</v>
      </c>
      <c r="B29" s="60"/>
    </row>
    <row r="30" spans="1:3">
      <c r="A30" s="59" t="s">
        <v>238</v>
      </c>
      <c r="B30" s="60"/>
    </row>
    <row r="31" spans="1:3">
      <c r="A31" s="59" t="s">
        <v>239</v>
      </c>
      <c r="B31" s="60"/>
    </row>
    <row r="34" spans="1:2">
      <c r="A34" s="59" t="s">
        <v>234</v>
      </c>
      <c r="B34" s="60"/>
    </row>
  </sheetData>
  <phoneticPr fontId="14" type="noConversion"/>
  <pageMargins left="0.5" right="0.5" top="0.79000000000000015" bottom="0.79000000000000015" header="0.30000000000000004" footer="0.30000000000000004"/>
  <pageSetup paperSize="9" scale="46" orientation="landscape"/>
  <headerFooter>
    <oddHeader>&amp;C&amp;"Calibri,Standard"&amp;K000000Musterdepot abgestrafte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9" sqref="S9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192</v>
      </c>
      <c r="O1" s="49" t="s">
        <v>193</v>
      </c>
      <c r="P1" s="49" t="s">
        <v>194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179</v>
      </c>
      <c r="D2" s="29" t="s">
        <v>180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13.68</v>
      </c>
      <c r="O2" s="33">
        <f>N2*B12</f>
        <v>15.571944</v>
      </c>
      <c r="P2" s="33">
        <f t="shared" ref="P2:P5" si="1">L2*O2</f>
        <v>1090.0360800000001</v>
      </c>
      <c r="Q2" s="31"/>
      <c r="R2" s="29"/>
      <c r="S2" s="31">
        <f t="shared" ref="S2:S6" si="2">(P2-H2)/H2</f>
        <v>7.466832298136647E-2</v>
      </c>
      <c r="T2" s="31"/>
    </row>
    <row r="3" spans="1:20">
      <c r="A3" s="29" t="s">
        <v>4</v>
      </c>
      <c r="B3" s="29" t="s">
        <v>181</v>
      </c>
      <c r="C3" s="37" t="s">
        <v>182</v>
      </c>
      <c r="D3" s="29" t="s">
        <v>183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78.650000000000006</v>
      </c>
      <c r="O3" s="33">
        <f>N3*B11</f>
        <v>67.23002000000001</v>
      </c>
      <c r="P3" s="33">
        <f t="shared" si="1"/>
        <v>806.76024000000007</v>
      </c>
      <c r="Q3" s="31">
        <f>(P2+P3)/P6</f>
        <v>0.46854117866765738</v>
      </c>
      <c r="R3" s="33"/>
      <c r="S3" s="31">
        <f t="shared" si="2"/>
        <v>-0.2266356140002953</v>
      </c>
      <c r="T3" s="31"/>
    </row>
    <row r="4" spans="1:20">
      <c r="A4" s="29" t="s">
        <v>184</v>
      </c>
      <c r="B4" s="29" t="s">
        <v>185</v>
      </c>
      <c r="C4" s="37" t="s">
        <v>187</v>
      </c>
      <c r="D4" s="29" t="s">
        <v>186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36.19</v>
      </c>
      <c r="O4" s="33">
        <f>N4*B11</f>
        <v>30.935212</v>
      </c>
      <c r="P4" s="33">
        <f t="shared" si="1"/>
        <v>1020.861996</v>
      </c>
      <c r="Q4" s="31">
        <f>(P4)/P6</f>
        <v>0.25217039795968038</v>
      </c>
      <c r="R4" s="33"/>
      <c r="S4" s="31">
        <f t="shared" si="2"/>
        <v>2.0530619502541324E-2</v>
      </c>
      <c r="T4" s="31"/>
    </row>
    <row r="5" spans="1:20">
      <c r="A5" s="29" t="s">
        <v>188</v>
      </c>
      <c r="B5" s="29" t="s">
        <v>189</v>
      </c>
      <c r="C5" s="37" t="s">
        <v>190</v>
      </c>
      <c r="D5" s="29" t="s">
        <v>191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44.09</v>
      </c>
      <c r="O5" s="33">
        <f>N5*B11</f>
        <v>37.688132000000003</v>
      </c>
      <c r="P5" s="33">
        <f t="shared" si="1"/>
        <v>1130.6439600000001</v>
      </c>
      <c r="Q5" s="31">
        <f>(P5)/P6</f>
        <v>0.27928842337266219</v>
      </c>
      <c r="R5" s="33"/>
      <c r="S5" s="31">
        <f t="shared" si="2"/>
        <v>0.1288387211171895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4048.3022760000003</v>
      </c>
      <c r="Q6" s="12">
        <f>SUM(Q2:Q5)</f>
        <v>1</v>
      </c>
      <c r="R6" s="11"/>
      <c r="S6" s="12">
        <f t="shared" si="2"/>
        <v>-2.7354230432606944E-3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2121.85</v>
      </c>
      <c r="O8" s="41"/>
      <c r="P8" s="41"/>
      <c r="Q8" s="42"/>
      <c r="R8" s="41" t="s">
        <v>64</v>
      </c>
      <c r="S8" s="42">
        <f>(N8-K8)/K8</f>
        <v>8.7523295173619654E-3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0.8548</v>
      </c>
    </row>
    <row r="12" spans="1:20">
      <c r="A12" s="35" t="s">
        <v>130</v>
      </c>
      <c r="B12" s="35">
        <f>'170830_langfr_Geldanlage'!B19</f>
        <v>1.1383000000000001</v>
      </c>
    </row>
    <row r="14" spans="1:20">
      <c r="A14" s="50" t="s">
        <v>195</v>
      </c>
      <c r="B14" s="51">
        <f>'170830_langfr_Geldanlage'!B25</f>
        <v>43256</v>
      </c>
      <c r="C14" s="58" t="str">
        <f>'170830_langfr_Geldanlage'!C25</f>
        <v>12 Uhr sowie für US-Werte 04.06.2018 nach Börsenschluss</v>
      </c>
    </row>
    <row r="15" spans="1:20">
      <c r="A15" s="50" t="s">
        <v>196</v>
      </c>
      <c r="B15" s="35">
        <v>0.42</v>
      </c>
    </row>
  </sheetData>
  <phoneticPr fontId="14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202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192</v>
      </c>
      <c r="O1" s="49" t="s">
        <v>193</v>
      </c>
      <c r="P1" s="49" t="s">
        <v>194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198</v>
      </c>
      <c r="B2" s="53" t="s">
        <v>199</v>
      </c>
      <c r="C2" s="53" t="s">
        <v>200</v>
      </c>
      <c r="D2" s="53" t="s">
        <v>201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40.32</v>
      </c>
      <c r="O2" s="6">
        <f>N2*B21</f>
        <v>26.595071999999998</v>
      </c>
      <c r="P2" s="6">
        <f t="shared" ref="P2:P11" si="1">L2*O2</f>
        <v>1063.80288</v>
      </c>
      <c r="Q2" s="7"/>
      <c r="R2" s="33"/>
      <c r="S2" s="7">
        <f>(P2-H2)/H2</f>
        <v>3.710335924648351E-2</v>
      </c>
      <c r="T2" s="7"/>
    </row>
    <row r="3" spans="1:20">
      <c r="A3" s="53" t="s">
        <v>203</v>
      </c>
      <c r="B3" s="53" t="s">
        <v>204</v>
      </c>
      <c r="C3" s="53" t="s">
        <v>205</v>
      </c>
      <c r="D3" s="53" t="s">
        <v>206</v>
      </c>
      <c r="E3" s="53" t="s">
        <v>29</v>
      </c>
      <c r="F3" s="53" t="s">
        <v>207</v>
      </c>
      <c r="G3" s="53" t="s">
        <v>16</v>
      </c>
      <c r="H3" s="6">
        <f t="shared" si="0"/>
        <v>946.80000000000007</v>
      </c>
      <c r="I3" s="7"/>
      <c r="J3" s="53" t="s">
        <v>208</v>
      </c>
      <c r="K3" s="6">
        <v>78.900000000000006</v>
      </c>
      <c r="L3" s="18">
        <v>12</v>
      </c>
      <c r="M3" s="6">
        <f>K3</f>
        <v>78.900000000000006</v>
      </c>
      <c r="N3" s="6">
        <v>86.92</v>
      </c>
      <c r="O3" s="6">
        <f>N3</f>
        <v>86.92</v>
      </c>
      <c r="P3" s="6">
        <f t="shared" si="1"/>
        <v>1043.04</v>
      </c>
      <c r="Q3" s="7"/>
      <c r="R3" s="26"/>
      <c r="S3" s="7">
        <f t="shared" ref="S3:S12" si="2">(P3-H3)/H3</f>
        <v>0.10164765525982244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38.06</v>
      </c>
      <c r="O4" s="6">
        <f>N4</f>
        <v>38.06</v>
      </c>
      <c r="P4" s="6">
        <f t="shared" si="1"/>
        <v>951.5</v>
      </c>
      <c r="Q4" s="7"/>
      <c r="R4" s="28"/>
      <c r="S4" s="7">
        <f t="shared" si="2"/>
        <v>-3.6943319838056793E-2</v>
      </c>
      <c r="T4" s="7"/>
    </row>
    <row r="5" spans="1:20">
      <c r="A5" s="53" t="s">
        <v>17</v>
      </c>
      <c r="B5" s="53" t="s">
        <v>209</v>
      </c>
      <c r="C5" s="53" t="s">
        <v>210</v>
      </c>
      <c r="D5" s="53" t="s">
        <v>211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107</v>
      </c>
      <c r="O5" s="6">
        <f>N5</f>
        <v>107</v>
      </c>
      <c r="P5" s="6">
        <f t="shared" si="1"/>
        <v>1070</v>
      </c>
      <c r="Q5" s="7"/>
      <c r="R5" s="33"/>
      <c r="S5" s="7">
        <f t="shared" si="2"/>
        <v>1.8726591760299626E-3</v>
      </c>
      <c r="T5" s="7"/>
    </row>
    <row r="6" spans="1:20">
      <c r="A6" s="53" t="s">
        <v>25</v>
      </c>
      <c r="B6" s="53" t="s">
        <v>216</v>
      </c>
      <c r="C6" s="53" t="s">
        <v>214</v>
      </c>
      <c r="D6" s="53" t="s">
        <v>215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225.83</v>
      </c>
      <c r="O6" s="6">
        <f>N6*B18</f>
        <v>193.03948400000002</v>
      </c>
      <c r="P6" s="6">
        <f t="shared" si="1"/>
        <v>1158.2369040000001</v>
      </c>
      <c r="Q6" s="7"/>
      <c r="R6" s="22"/>
      <c r="S6" s="7">
        <f t="shared" si="2"/>
        <v>0.10000531541494494</v>
      </c>
      <c r="T6" s="7"/>
    </row>
    <row r="7" spans="1:20">
      <c r="A7" s="53" t="s">
        <v>26</v>
      </c>
      <c r="B7" s="53" t="s">
        <v>217</v>
      </c>
      <c r="C7" s="53" t="s">
        <v>212</v>
      </c>
      <c r="D7" s="53" t="s">
        <v>218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219</v>
      </c>
      <c r="K7" s="6">
        <v>507.5</v>
      </c>
      <c r="L7" s="18">
        <v>2</v>
      </c>
      <c r="M7" s="6">
        <f>K7</f>
        <v>507.5</v>
      </c>
      <c r="N7" s="6">
        <v>544.5</v>
      </c>
      <c r="O7" s="6">
        <f>N7</f>
        <v>544.5</v>
      </c>
      <c r="P7" s="6">
        <f t="shared" si="1"/>
        <v>1089</v>
      </c>
      <c r="Q7" s="7"/>
      <c r="R7" s="28"/>
      <c r="S7" s="7">
        <f t="shared" si="2"/>
        <v>7.2906403940886697E-2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220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23.11</v>
      </c>
      <c r="O8" s="6">
        <f>N8*B19</f>
        <v>26.306113</v>
      </c>
      <c r="P8" s="6">
        <f t="shared" si="1"/>
        <v>1236.387311</v>
      </c>
      <c r="Q8" s="7"/>
      <c r="R8" s="33"/>
      <c r="S8" s="7">
        <f t="shared" si="2"/>
        <v>0.20589204960886373</v>
      </c>
      <c r="T8" s="7"/>
    </row>
    <row r="9" spans="1:20">
      <c r="A9" s="53" t="s">
        <v>46</v>
      </c>
      <c r="B9" s="53" t="s">
        <v>225</v>
      </c>
      <c r="C9" s="53" t="s">
        <v>226</v>
      </c>
      <c r="D9" s="53" t="s">
        <v>227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445.6</v>
      </c>
      <c r="O9" s="6">
        <f>N9</f>
        <v>445.6</v>
      </c>
      <c r="P9" s="6">
        <f t="shared" si="1"/>
        <v>891.2</v>
      </c>
      <c r="Q9" s="7"/>
      <c r="R9" s="33"/>
      <c r="S9" s="7">
        <f t="shared" si="2"/>
        <v>-1.8069634200088121E-2</v>
      </c>
      <c r="T9" s="7"/>
    </row>
    <row r="10" spans="1:20">
      <c r="A10" s="53" t="s">
        <v>38</v>
      </c>
      <c r="B10" s="53" t="s">
        <v>228</v>
      </c>
      <c r="C10" s="53" t="s">
        <v>213</v>
      </c>
      <c r="D10" s="53" t="s">
        <v>229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230</v>
      </c>
      <c r="K10" s="6">
        <v>43.61</v>
      </c>
      <c r="L10" s="18">
        <v>28</v>
      </c>
      <c r="M10" s="6">
        <f>K10*0.8114</f>
        <v>35.385154</v>
      </c>
      <c r="N10" s="6">
        <v>43.58</v>
      </c>
      <c r="O10" s="6">
        <f>N10*B18</f>
        <v>37.252184</v>
      </c>
      <c r="P10" s="6">
        <f t="shared" si="1"/>
        <v>1043.061152</v>
      </c>
      <c r="Q10" s="7"/>
      <c r="R10" s="28"/>
      <c r="S10" s="7">
        <f t="shared" si="2"/>
        <v>5.2763088158384153E-2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237.41</v>
      </c>
      <c r="O11" s="6">
        <f>N11*B18</f>
        <v>202.93806799999999</v>
      </c>
      <c r="P11" s="6">
        <f t="shared" si="1"/>
        <v>811.75227199999995</v>
      </c>
      <c r="Q11" s="7"/>
      <c r="R11" s="33"/>
      <c r="S11" s="7">
        <f t="shared" si="2"/>
        <v>-0.12035825157804522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10357.980519000001</v>
      </c>
      <c r="Q12" s="12"/>
      <c r="R12" s="11"/>
      <c r="S12" s="12">
        <f t="shared" si="2"/>
        <v>4.1738442233351658E-2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197</v>
      </c>
      <c r="K14" s="15">
        <v>2089.9699999999998</v>
      </c>
      <c r="L14" s="20"/>
      <c r="M14" s="15"/>
      <c r="N14" s="15">
        <f>'170830_langfr_Geldanlage'!N14</f>
        <v>2121.85</v>
      </c>
      <c r="O14" s="15"/>
      <c r="P14" s="15"/>
      <c r="Q14" s="16"/>
      <c r="R14" s="24" t="s">
        <v>64</v>
      </c>
      <c r="S14" s="16">
        <f>(N14-K14)/K14</f>
        <v>1.5253807470920689E-2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0.8548</v>
      </c>
    </row>
    <row r="19" spans="1:3">
      <c r="A19" s="35" t="s">
        <v>177</v>
      </c>
      <c r="B19" s="1">
        <f>'170830_langfr_Geldanlage'!B19</f>
        <v>1.1383000000000001</v>
      </c>
    </row>
    <row r="20" spans="1:3">
      <c r="A20" s="50" t="s">
        <v>14</v>
      </c>
      <c r="B20" s="35">
        <v>0.65190000000000003</v>
      </c>
    </row>
    <row r="21" spans="1:3">
      <c r="A21" s="35" t="s">
        <v>42</v>
      </c>
      <c r="B21" s="1">
        <f>'170830_langfr_Geldanlage'!B21</f>
        <v>0.65959999999999996</v>
      </c>
    </row>
    <row r="24" spans="1:3">
      <c r="A24" s="50" t="s">
        <v>195</v>
      </c>
      <c r="B24" s="51">
        <f>'170830_langfr_Geldanlage'!B25</f>
        <v>43256</v>
      </c>
      <c r="C24" s="57" t="str">
        <f>'171004_langfr_Geldanlage'!C22</f>
        <v>12 Uhr sowie für US-Werte 04.06.2018 nach Börsenschluss</v>
      </c>
    </row>
    <row r="25" spans="1:3">
      <c r="A25" s="50" t="s">
        <v>196</v>
      </c>
      <c r="B25" s="2">
        <v>0.25</v>
      </c>
    </row>
  </sheetData>
  <phoneticPr fontId="14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171004_Turnaroundwerte</vt:lpstr>
      <vt:lpstr>171004_abgestrafte_Werte</vt:lpstr>
      <vt:lpstr>171213_2018_Empfehlungsliste</vt:lpstr>
      <vt:lpstr>180302_langfr_Geldanlage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2018-06-05T10:45:34Z</dcterms:modified>
</cp:coreProperties>
</file>