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71004_Turnaroundwerte" sheetId="3" r:id="rId3"/>
    <sheet name="171213_2018_Empfehlungsliste" sheetId="5" r:id="rId4"/>
    <sheet name="180302_langfr_Geldanlage" sheetId="6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4" i="6"/>
  <c r="C14" i="5"/>
  <c r="B22" i="3"/>
  <c r="B21" i="6"/>
  <c r="B19" i="6"/>
  <c r="B18" i="6"/>
  <c r="B24" i="6"/>
  <c r="B14" i="5"/>
  <c r="B21" i="3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8" i="5"/>
  <c r="N13" i="3"/>
  <c r="N14" i="2"/>
  <c r="B12" i="5"/>
  <c r="B11" i="5"/>
  <c r="B19" i="3"/>
  <c r="B17" i="2"/>
  <c r="B18" i="3"/>
  <c r="M5" i="5"/>
  <c r="M4" i="5"/>
  <c r="M3" i="5"/>
  <c r="M2" i="5"/>
  <c r="O5" i="5"/>
  <c r="P5" i="5"/>
  <c r="O3" i="5"/>
  <c r="P3" i="5"/>
  <c r="O4" i="5"/>
  <c r="P4" i="5"/>
  <c r="O2" i="5"/>
  <c r="P2" i="5"/>
  <c r="P6" i="5"/>
  <c r="Q5" i="5"/>
  <c r="Q4" i="5"/>
  <c r="H5" i="5"/>
  <c r="H2" i="5"/>
  <c r="H3" i="5"/>
  <c r="H4" i="5"/>
  <c r="H6" i="5"/>
  <c r="I5" i="5"/>
  <c r="I4" i="5"/>
  <c r="S8" i="5"/>
  <c r="S6" i="5"/>
  <c r="Q3" i="5"/>
  <c r="Q6" i="5"/>
  <c r="I3" i="5"/>
  <c r="I6" i="5"/>
  <c r="S5" i="5"/>
  <c r="S4" i="5"/>
  <c r="S3" i="5"/>
  <c r="S2" i="5"/>
  <c r="O8" i="3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3" i="3"/>
  <c r="O2" i="3"/>
  <c r="P2" i="3"/>
  <c r="O3" i="3"/>
  <c r="P3" i="3"/>
  <c r="O4" i="3"/>
  <c r="P4" i="3"/>
  <c r="O5" i="3"/>
  <c r="P5" i="3"/>
  <c r="O6" i="3"/>
  <c r="P6" i="3"/>
  <c r="O7" i="3"/>
  <c r="P7" i="3"/>
  <c r="P8" i="3"/>
  <c r="O9" i="3"/>
  <c r="P9" i="3"/>
  <c r="O10" i="3"/>
  <c r="P10" i="3"/>
  <c r="P11" i="3"/>
  <c r="M2" i="3"/>
  <c r="H2" i="3"/>
  <c r="M3" i="3"/>
  <c r="H3" i="3"/>
  <c r="M4" i="3"/>
  <c r="H4" i="3"/>
  <c r="M5" i="3"/>
  <c r="H5" i="3"/>
  <c r="M6" i="3"/>
  <c r="H6" i="3"/>
  <c r="M7" i="3"/>
  <c r="H7" i="3"/>
  <c r="M8" i="3"/>
  <c r="H8" i="3"/>
  <c r="M9" i="3"/>
  <c r="H9" i="3"/>
  <c r="M10" i="3"/>
  <c r="H10" i="3"/>
  <c r="H11" i="3"/>
  <c r="S11" i="3"/>
  <c r="Q3" i="3"/>
  <c r="Q5" i="3"/>
  <c r="Q7" i="3"/>
  <c r="Q8" i="3"/>
  <c r="Q9" i="3"/>
  <c r="Q10" i="3"/>
  <c r="Q11" i="3"/>
  <c r="I3" i="3"/>
  <c r="I5" i="3"/>
  <c r="I7" i="3"/>
  <c r="I8" i="3"/>
  <c r="I9" i="3"/>
  <c r="I10" i="3"/>
  <c r="I11" i="3"/>
  <c r="S10" i="3"/>
  <c r="S9" i="3"/>
  <c r="S8" i="3"/>
  <c r="S7" i="3"/>
  <c r="S6" i="3"/>
  <c r="S5" i="3"/>
  <c r="S4" i="3"/>
  <c r="S3" i="3"/>
  <c r="S2" i="3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<sst xmlns="http://schemas.openxmlformats.org/spreadsheetml/2006/main" count="493" uniqueCount="206">
  <si>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</si>
  <si>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</si>
  <si>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</si>
  <si>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</si>
  <si>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</si>
  <si>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</si>
  <si>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</si>
  <si>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</si>
  <si>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</si>
  <si>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</si>
  <si>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</si>
  <si>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</si>
  <si>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</si>
  <si>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</si>
  <si>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</si>
  <si>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</si>
  <si>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</si>
  <si>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</si>
  <si>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</si>
  <si>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</si>
  <si>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</si>
  <si>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</si>
  <si>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</si>
  <si>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</si>
  <si>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</si>
  <si>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</si>
  <si>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</si>
  <si>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</si>
  <si>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</si>
  <si>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</si>
  <si>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</si>
  <si>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</si>
  <si>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</si>
  <si>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</si>
  <si>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</si>
  <si>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</si>
  <si>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</si>
  <si>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</si>
  <si>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</si>
  <si>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</si>
  <si>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</si>
  <si>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</si>
  <si>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</si>
  <si>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</si>
  <si>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</si>
  <si>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</si>
  <si>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</si>
  <si>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</si>
  <si>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</si>
  <si>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</si>
  <si>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</si>
  <si>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</si>
  <si>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</si>
  <si>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</si>
  <si>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</si>
  <si>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</si>
  <si>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</si>
  <si>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</si>
  <si>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</si>
  <si>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</si>
  <si>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</si>
  <si>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</si>
  <si>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</si>
  <si>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</si>
  <si>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</si>
  <si>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</si>
  <si>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</si>
  <si>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</si>
  <si>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</si>
  <si>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</si>
  <si>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</si>
  <si>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</si>
  <si>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</si>
  <si>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</si>
  <si>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</si>
  <si>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</si>
  <si>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</si>
  <si>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</si>
  <si>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</si>
  <si>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</si>
  <si>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</si>
  <si>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</si>
  <si>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</si>
  <si>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</si>
  <si>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</si>
  <si>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</si>
  <si>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</si>
  <si>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</si>
  <si>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</si>
  <si>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</si>
  <si>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</si>
  <si>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</si>
  <si>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</si>
  <si>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</si>
  <si>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</si>
  <si>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</si>
  <si>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</si>
  <si>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</si>
  <si>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</si>
  <si>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</si>
  <si>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</si>
  <si>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</si>
  <si>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</si>
  <si>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</si>
  <si>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</si>
  <si>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</si>
  <si>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</si>
  <si>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</si>
  <si>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</si>
  <si>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</si>
  <si>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</si>
  <si>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</si>
  <si>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</si>
  <si>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</si>
  <si>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</si>
  <si>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</si>
  <si>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</si>
  <si>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</si>
  <si>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Wert</t>
  </si>
  <si>
    <t>Biotechnologie Erforschung seltener Krankh.</t>
  </si>
  <si>
    <t>Alexion Pharmaceuticals</t>
  </si>
  <si>
    <t>899527 US</t>
  </si>
  <si>
    <t>Pharmazie Nahrungsergänzungsmittel</t>
  </si>
  <si>
    <t>Perrigo</t>
  </si>
  <si>
    <t>A1XAEY US</t>
  </si>
  <si>
    <t>Bekleidung Sport Freizeit Lifestyle</t>
  </si>
  <si>
    <t>Bekleidung Mode Handel</t>
  </si>
  <si>
    <t>Next</t>
  </si>
  <si>
    <t>779551 GB</t>
  </si>
  <si>
    <t>GB</t>
  </si>
  <si>
    <t>GBP</t>
  </si>
  <si>
    <t>Immobilien Vermietung Lagerr. für Waren Fahrzeuge</t>
  </si>
  <si>
    <t>Public Storage</t>
  </si>
  <si>
    <t>867609 US</t>
  </si>
  <si>
    <t>200 T. überschritten</t>
  </si>
  <si>
    <t xml:space="preserve">Dienstleister Beratung Risikobewertung </t>
  </si>
  <si>
    <t>Verisk Analytics</t>
  </si>
  <si>
    <t>A0YA2M US</t>
  </si>
  <si>
    <t>Verkehr Hersteller Feuerwehrfahrzeuge</t>
  </si>
  <si>
    <t>Rosenbauer</t>
  </si>
  <si>
    <t>892502 AT</t>
  </si>
  <si>
    <t>AT</t>
  </si>
  <si>
    <t>Elektro IT Technologie für öffentliche Verkehrsmittel</t>
  </si>
  <si>
    <t>Init</t>
  </si>
  <si>
    <t>575980 DE</t>
  </si>
  <si>
    <t>DE</t>
  </si>
  <si>
    <t>Basismetalle Kupfer</t>
  </si>
  <si>
    <t>Antofagasta</t>
  </si>
  <si>
    <t>867578 GB</t>
  </si>
  <si>
    <r>
      <rPr>
        <sz val="12"/>
        <color theme="1"/>
        <rFont val="Calibri"/>
        <family val="2"/>
        <charset val="204"/>
        <scheme val="minor"/>
      </rPr>
      <t>ATH</t>
    </r>
  </si>
  <si>
    <t>Beginn Musterdepot</t>
  </si>
  <si>
    <t>GBP (Britisches Pfund)</t>
  </si>
  <si>
    <t>Wert 31.12.2017</t>
  </si>
  <si>
    <t>Smith &amp; Nephew</t>
  </si>
  <si>
    <t>502816 GB</t>
  </si>
  <si>
    <t>Biotechnologie Biopharmazeutika</t>
  </si>
  <si>
    <t>Celgene</t>
  </si>
  <si>
    <t>881244 US</t>
  </si>
  <si>
    <t>Basiskonsum</t>
  </si>
  <si>
    <t>Lebebsnittel Hersteller u.a. Fleischprodukte</t>
  </si>
  <si>
    <t>850875 US</t>
  </si>
  <si>
    <t>Hormel Foods</t>
  </si>
  <si>
    <t>Rohstoffe</t>
  </si>
  <si>
    <t>Agrar Agribusiness</t>
  </si>
  <si>
    <t>Archer Daniels Midland</t>
  </si>
  <si>
    <t>854161 US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</si>
  <si>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</si>
  <si>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</si>
  <si>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</si>
  <si>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</si>
  <si>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</si>
  <si>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</si>
  <si>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</si>
  <si>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</si>
  <si>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</si>
  <si>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</si>
  <si>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</si>
  <si>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</si>
  <si>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</si>
  <si>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</si>
  <si>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</si>
  <si>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</si>
  <si>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</si>
  <si>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</si>
  <si>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</si>
  <si>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</si>
  <si>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</si>
  <si>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</si>
  <si>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</si>
  <si>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</si>
  <si>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</si>
  <si>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</si>
  <si>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</si>
  <si>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</si>
  <si>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</si>
  <si>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</si>
  <si>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</si>
  <si>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</si>
  <si>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</si>
  <si>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</si>
  <si>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</si>
  <si>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</si>
  <si>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</si>
  <si>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</si>
  <si>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</si>
  <si>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17:45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</si>
</sst>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6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4" fontId="7" fillId="0" borderId="1" xfId="0" applyNumberFormat="1" applyFont="1" applyBorder="1"/>
    <xf numFmtId="10" fontId="7" fillId="0" borderId="1" xfId="0" applyNumberFormat="1" applyFont="1" applyBorder="1" applyAlignment="1">
      <alignment wrapText="1"/>
    </xf>
    <xf numFmtId="4" fontId="6" fillId="2" borderId="0" xfId="0" applyNumberFormat="1" applyFont="1" applyFill="1"/>
    <xf numFmtId="4" fontId="6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0" fontId="6" fillId="2" borderId="0" xfId="0" applyFont="1" applyFill="1"/>
    <xf numFmtId="4" fontId="5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/>
    <xf numFmtId="1" fontId="4" fillId="0" borderId="1" xfId="0" applyNumberFormat="1" applyFont="1" applyBorder="1" applyAlignment="1">
      <alignment wrapText="1"/>
    </xf>
    <xf numFmtId="4" fontId="4" fillId="0" borderId="1" xfId="0" applyNumberFormat="1" applyFont="1" applyBorder="1"/>
    <xf numFmtId="10" fontId="4" fillId="0" borderId="1" xfId="0" applyNumberFormat="1" applyFont="1" applyBorder="1" applyAlignment="1">
      <alignment wrapText="1"/>
    </xf>
    <xf numFmtId="0" fontId="4" fillId="0" borderId="0" xfId="0" applyFont="1"/>
    <xf numFmtId="1" fontId="4" fillId="0" borderId="1" xfId="0" applyNumberFormat="1" applyFont="1" applyBorder="1"/>
    <xf numFmtId="0" fontId="4" fillId="0" borderId="1" xfId="0" applyFont="1" applyFill="1" applyBorder="1"/>
    <xf numFmtId="0" fontId="15" fillId="0" borderId="1" xfId="0" applyFont="1" applyBorder="1"/>
    <xf numFmtId="0" fontId="0" fillId="0" borderId="1" xfId="0" applyFont="1" applyBorder="1" applyAlignment="1">
      <alignment wrapText="1"/>
    </xf>
    <xf numFmtId="0" fontId="4" fillId="2" borderId="0" xfId="0" applyFont="1" applyFill="1"/>
    <xf numFmtId="4" fontId="4" fillId="2" borderId="0" xfId="0" applyNumberFormat="1" applyFont="1" applyFill="1"/>
    <xf numFmtId="10" fontId="4" fillId="2" borderId="0" xfId="0" applyNumberFormat="1" applyFont="1" applyFill="1"/>
    <xf numFmtId="1" fontId="4" fillId="2" borderId="0" xfId="0" applyNumberFormat="1" applyFont="1" applyFill="1"/>
    <xf numFmtId="4" fontId="4" fillId="0" borderId="0" xfId="0" applyNumberFormat="1" applyFont="1"/>
    <xf numFmtId="10" fontId="4" fillId="0" borderId="0" xfId="0" applyNumberFormat="1" applyFont="1"/>
    <xf numFmtId="1" fontId="4" fillId="0" borderId="0" xfId="0" applyNumberFormat="1" applyFont="1"/>
    <xf numFmtId="0" fontId="0" fillId="0" borderId="1" xfId="0" applyFont="1" applyBorder="1"/>
    <xf numFmtId="15" fontId="4" fillId="0" borderId="0" xfId="0" applyNumberFormat="1" applyFont="1"/>
    <xf numFmtId="4" fontId="3" fillId="0" borderId="1" xfId="0" applyNumberFormat="1" applyFont="1" applyBorder="1" applyAlignment="1">
      <alignment wrapText="1"/>
    </xf>
    <xf numFmtId="0" fontId="3" fillId="0" borderId="0" xfId="0" applyFont="1"/>
    <xf numFmtId="14" fontId="9" fillId="0" borderId="0" xfId="0" applyNumberFormat="1" applyFont="1"/>
    <xf numFmtId="0" fontId="3" fillId="2" borderId="0" xfId="0" applyFont="1" applyFill="1"/>
    <xf numFmtId="0" fontId="3" fillId="0" borderId="1" xfId="0" applyFont="1" applyBorder="1"/>
    <xf numFmtId="4" fontId="3" fillId="0" borderId="0" xfId="0" applyNumberFormat="1" applyFont="1"/>
    <xf numFmtId="10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16" fillId="0" borderId="0" xfId="0" applyFont="1"/>
  </cellXfs>
  <cellStyles count="216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8" sqref="N8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166</v>
      </c>
      <c r="O1" s="49" t="s">
        <v>167</v>
      </c>
      <c r="P1" s="49" t="s">
        <v>168</v>
      </c>
      <c r="Q1" s="7" t="s">
        <v>3</v>
      </c>
      <c r="R1" s="9" t="s">
        <v>70</v>
      </c>
      <c r="S1" s="23" t="s">
        <v>74</v>
      </c>
      <c r="T1" s="55" t="s">
        <v>198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36.479999999999997</v>
      </c>
      <c r="O2" s="6">
        <f>N2</f>
        <v>36.479999999999997</v>
      </c>
      <c r="P2" s="6">
        <f t="shared" ref="P2:P11" si="1">L2*O2</f>
        <v>802.56</v>
      </c>
      <c r="Q2" s="7"/>
      <c r="R2" s="7">
        <f t="shared" ref="R2:R12" si="2">(P2-H2)/H2</f>
        <v>-0.19665271966527201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76.88</v>
      </c>
      <c r="O3" s="6">
        <f>N3</f>
        <v>76.88</v>
      </c>
      <c r="P3" s="6">
        <f t="shared" si="1"/>
        <v>1230.08</v>
      </c>
      <c r="Q3" s="7">
        <f>(P2+P3)/P12</f>
        <v>0.18214809074357788</v>
      </c>
      <c r="R3" s="7">
        <f t="shared" si="2"/>
        <v>0.24805194805194794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127.81</v>
      </c>
      <c r="O4" s="6">
        <f>N4</f>
        <v>127.81</v>
      </c>
      <c r="P4" s="6">
        <f t="shared" si="1"/>
        <v>1150.29</v>
      </c>
      <c r="Q4" s="7"/>
      <c r="R4" s="7">
        <f t="shared" si="2"/>
        <v>0.12836585150525295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22.94</v>
      </c>
      <c r="O5" s="6">
        <f>N5*B19</f>
        <v>25.628568000000001</v>
      </c>
      <c r="P5" s="6">
        <f t="shared" si="1"/>
        <v>1025.1427200000001</v>
      </c>
      <c r="Q5" s="7">
        <f>(P4+P5)/P12</f>
        <v>0.19494397261153398</v>
      </c>
      <c r="R5" s="7">
        <f t="shared" si="2"/>
        <v>3.1745893719806795E-2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82.44</v>
      </c>
      <c r="O6" s="6">
        <f>N6*B21</f>
        <v>54.632987999999997</v>
      </c>
      <c r="P6" s="6">
        <f t="shared" si="1"/>
        <v>1311.1917119999998</v>
      </c>
      <c r="Q6" s="7"/>
      <c r="R6" s="7">
        <f t="shared" si="2"/>
        <v>0.30326784351145014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40.92</v>
      </c>
      <c r="O7" s="6">
        <f>N7*B18</f>
        <v>35.289408000000002</v>
      </c>
      <c r="P7" s="6">
        <f t="shared" si="1"/>
        <v>1129.2610560000001</v>
      </c>
      <c r="Q7" s="7">
        <f>(P6+P7)/P12</f>
        <v>0.21869283898825168</v>
      </c>
      <c r="R7" s="7">
        <f t="shared" si="2"/>
        <v>0.13800090293453723</v>
      </c>
      <c r="S7" s="7"/>
      <c r="T7" s="7">
        <v>1.7500000000000002E-2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149.10499999999999</v>
      </c>
      <c r="O8" s="6">
        <f>N8*B18</f>
        <v>128.58815200000001</v>
      </c>
      <c r="P8" s="6">
        <f t="shared" si="1"/>
        <v>1157.2933680000001</v>
      </c>
      <c r="Q8" s="7"/>
      <c r="R8" s="7">
        <f t="shared" si="2"/>
        <v>0.17015335335335346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80</v>
      </c>
      <c r="O9" s="6">
        <f>N9*B18</f>
        <v>68.992000000000004</v>
      </c>
      <c r="P9" s="6">
        <f t="shared" si="1"/>
        <v>1586.816</v>
      </c>
      <c r="Q9" s="7">
        <f>(P8+P9)/P12</f>
        <v>0.24590398800218743</v>
      </c>
      <c r="R9" s="7">
        <f t="shared" si="2"/>
        <v>0.56125820321339692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59.78</v>
      </c>
      <c r="O10" s="6">
        <f>N10*B18</f>
        <v>51.554272000000005</v>
      </c>
      <c r="P10" s="6">
        <f t="shared" si="1"/>
        <v>927.97689600000012</v>
      </c>
      <c r="Q10" s="7">
        <f>P10/P12</f>
        <v>8.3157479858977382E-2</v>
      </c>
      <c r="R10" s="7">
        <f t="shared" si="2"/>
        <v>-3.9421054592882358E-2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234.4</v>
      </c>
      <c r="O11" s="6">
        <f>N11*B22</f>
        <v>22.66648</v>
      </c>
      <c r="P11" s="6">
        <f t="shared" si="1"/>
        <v>838.65976000000001</v>
      </c>
      <c r="Q11" s="7">
        <f>P11/P12</f>
        <v>7.5153629795471535E-2</v>
      </c>
      <c r="R11" s="7">
        <f t="shared" si="2"/>
        <v>-0.15486651752423566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11159.271512000001</v>
      </c>
      <c r="Q12" s="12"/>
      <c r="R12" s="12">
        <f t="shared" si="2"/>
        <v>0.1204279101149318</v>
      </c>
      <c r="S12" s="12"/>
      <c r="T12" s="12">
        <f>AVERAGE(T2:T11)</f>
        <v>1.755E-2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2157.33</v>
      </c>
      <c r="O14" s="15"/>
      <c r="P14" s="15"/>
      <c r="Q14" s="16"/>
      <c r="R14" s="16">
        <f>(N14-K14)/K14</f>
        <v>0.10772619677232184</v>
      </c>
      <c r="S14" s="16"/>
    </row>
    <row r="17" spans="1:3">
      <c r="A17" s="35" t="s">
        <v>117</v>
      </c>
      <c r="B17" s="50" t="s">
        <v>195</v>
      </c>
    </row>
    <row r="18" spans="1:3">
      <c r="A18" s="35" t="s">
        <v>22</v>
      </c>
      <c r="B18" s="35">
        <v>0.86240000000000006</v>
      </c>
    </row>
    <row r="19" spans="1:3">
      <c r="A19" s="35" t="s">
        <v>151</v>
      </c>
      <c r="B19" s="1">
        <v>1.1172</v>
      </c>
    </row>
    <row r="20" spans="1:3">
      <c r="A20" s="35" t="s">
        <v>31</v>
      </c>
      <c r="B20" s="35">
        <v>7.7000000000000002E-3</v>
      </c>
    </row>
    <row r="21" spans="1:3">
      <c r="A21" s="35" t="s">
        <v>42</v>
      </c>
      <c r="B21" s="1">
        <v>0.66269999999999996</v>
      </c>
    </row>
    <row r="22" spans="1:3">
      <c r="A22" s="35" t="s">
        <v>50</v>
      </c>
      <c r="B22" s="35">
        <v>9.6699999999999994E-2</v>
      </c>
    </row>
    <row r="25" spans="1:3">
      <c r="A25" s="50" t="s">
        <v>169</v>
      </c>
      <c r="B25" s="51">
        <v>43319</v>
      </c>
      <c r="C25" s="58" t="s">
        <v>205</v>
      </c>
    </row>
    <row r="26" spans="1:3">
      <c r="A26" s="50" t="s">
        <v>170</v>
      </c>
      <c r="B26" s="2">
        <v>0.92</v>
      </c>
    </row>
    <row r="29" spans="1:3">
      <c r="A29" s="50" t="s">
        <v>196</v>
      </c>
    </row>
    <row r="30" spans="1:3">
      <c r="A30" s="50" t="s">
        <v>197</v>
      </c>
      <c r="B30" s="54">
        <v>1.2</v>
      </c>
    </row>
    <row r="31" spans="1:3">
      <c r="A31" s="50"/>
    </row>
  </sheetData>
  <phoneticPr fontId="14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166</v>
      </c>
      <c r="O1" s="49" t="s">
        <v>167</v>
      </c>
      <c r="P1" s="49" t="s">
        <v>168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676.3</v>
      </c>
      <c r="O2" s="33">
        <f>N2*B19</f>
        <v>90.624200000000002</v>
      </c>
      <c r="P2" s="33">
        <f t="shared" ref="P2:P11" si="1">L2*O2</f>
        <v>1268.7388000000001</v>
      </c>
      <c r="Q2" s="31"/>
      <c r="R2" s="29"/>
      <c r="S2" s="31">
        <f t="shared" ref="S2:S12" si="2">(P2-H2)/H2</f>
        <v>0.25460678372741596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356</v>
      </c>
      <c r="O3" s="33">
        <f>N3</f>
        <v>356</v>
      </c>
      <c r="P3" s="33">
        <f t="shared" si="1"/>
        <v>712</v>
      </c>
      <c r="Q3" s="31">
        <f>(P2+P3)/P12</f>
        <v>0.17690087881245387</v>
      </c>
      <c r="R3" s="33"/>
      <c r="S3" s="31">
        <f t="shared" si="2"/>
        <v>-0.14526015543780202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444.7</v>
      </c>
      <c r="O4" s="33">
        <f>N4*B18</f>
        <v>385.37702000000002</v>
      </c>
      <c r="P4" s="33">
        <f t="shared" si="1"/>
        <v>1156.1310600000002</v>
      </c>
      <c r="Q4" s="31"/>
      <c r="R4" s="33"/>
      <c r="S4" s="31">
        <f t="shared" si="2"/>
        <v>-4.0267105556890934E-2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56.99</v>
      </c>
      <c r="O5" s="33">
        <f>N5</f>
        <v>56.99</v>
      </c>
      <c r="P5" s="33">
        <f t="shared" si="1"/>
        <v>1025.82</v>
      </c>
      <c r="Q5" s="31"/>
      <c r="R5" s="33"/>
      <c r="S5" s="31">
        <f t="shared" si="2"/>
        <v>5.4530651518235412E-2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352.75</v>
      </c>
      <c r="O6" s="33">
        <f>N6*B17</f>
        <v>304.21160000000003</v>
      </c>
      <c r="P6" s="33">
        <f t="shared" si="1"/>
        <v>1216.8464000000001</v>
      </c>
      <c r="Q6" s="31">
        <f>(P4+P5+P6)/P12</f>
        <v>0.30354848280830171</v>
      </c>
      <c r="R6" s="33"/>
      <c r="S6" s="31">
        <f t="shared" si="2"/>
        <v>0.36147075482574187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1854.67</v>
      </c>
      <c r="O7" s="33">
        <f>N7*B17</f>
        <v>1599.4674080000002</v>
      </c>
      <c r="P7" s="33">
        <f t="shared" si="1"/>
        <v>1599.4674080000002</v>
      </c>
      <c r="Q7" s="31"/>
      <c r="R7" s="33"/>
      <c r="S7" s="31">
        <f t="shared" si="2"/>
        <v>0.94640873031084416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56.81</v>
      </c>
      <c r="O8" s="33">
        <f>N8*B17</f>
        <v>48.992944000000008</v>
      </c>
      <c r="P8" s="33">
        <f t="shared" si="1"/>
        <v>1224.8236000000002</v>
      </c>
      <c r="Q8" s="31">
        <f>(P7+P8)/P12</f>
        <v>0.2522389935196459</v>
      </c>
      <c r="R8" s="33"/>
      <c r="S8" s="31">
        <f t="shared" si="2"/>
        <v>0.20993220810719482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262.37</v>
      </c>
      <c r="O9" s="33">
        <f>N9*B17</f>
        <v>226.26788800000003</v>
      </c>
      <c r="P9" s="33">
        <f t="shared" si="1"/>
        <v>905.07155200000011</v>
      </c>
      <c r="Q9" s="31">
        <f>(P9)/P12</f>
        <v>8.0832441378414735E-2</v>
      </c>
      <c r="R9" s="33"/>
      <c r="S9" s="31">
        <f t="shared" si="2"/>
        <v>-1.7610056585311874E-2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93.14</v>
      </c>
      <c r="O10" s="33">
        <f>N10</f>
        <v>93.14</v>
      </c>
      <c r="P10" s="33">
        <f t="shared" si="1"/>
        <v>931.4</v>
      </c>
      <c r="Q10" s="31">
        <f>(P10)/P12</f>
        <v>8.3183849645354316E-2</v>
      </c>
      <c r="R10" s="33"/>
      <c r="S10" s="31">
        <f t="shared" si="2"/>
        <v>-0.11924349881796692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53.645000000000003</v>
      </c>
      <c r="O11" s="33">
        <f>N11*B17</f>
        <v>46.263448000000004</v>
      </c>
      <c r="P11" s="33">
        <f t="shared" si="1"/>
        <v>1156.5862000000002</v>
      </c>
      <c r="Q11" s="31">
        <f>(P11)/P12</f>
        <v>0.10329535383582962</v>
      </c>
      <c r="R11" s="33"/>
      <c r="S11" s="31">
        <f t="shared" si="2"/>
        <v>0.15612302821182283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11196.88502</v>
      </c>
      <c r="Q12" s="12">
        <f>SUM(Q2:Q11)</f>
        <v>1.0000000000000002</v>
      </c>
      <c r="R12" s="11"/>
      <c r="S12" s="12">
        <f t="shared" si="2"/>
        <v>0.15091171599628711</v>
      </c>
      <c r="T12" s="12"/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2157.33</v>
      </c>
      <c r="O14" s="41"/>
      <c r="P14" s="41"/>
      <c r="Q14" s="42"/>
      <c r="R14" s="41" t="s">
        <v>64</v>
      </c>
      <c r="S14" s="42">
        <f>(N14-K14)/K14</f>
        <v>7.2793600623786023E-2</v>
      </c>
      <c r="T14" s="42"/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0.86240000000000006</v>
      </c>
    </row>
    <row r="18" spans="1:3">
      <c r="A18" s="35" t="s">
        <v>90</v>
      </c>
      <c r="B18" s="35">
        <v>0.86660000000000004</v>
      </c>
    </row>
    <row r="19" spans="1:3">
      <c r="A19" s="35" t="s">
        <v>83</v>
      </c>
      <c r="B19" s="35">
        <v>0.13400000000000001</v>
      </c>
    </row>
    <row r="22" spans="1:3">
      <c r="A22" s="50" t="s">
        <v>169</v>
      </c>
      <c r="B22" s="51">
        <f>'170830_langfr_Geldanlage'!B25</f>
        <v>43319</v>
      </c>
      <c r="C22" s="58" t="str">
        <f>'170830_langfr_Geldanlage'!C25</f>
        <v>17:45 Uhr</v>
      </c>
    </row>
    <row r="23" spans="1:3">
      <c r="A23" s="50" t="s">
        <v>170</v>
      </c>
      <c r="B23" s="44">
        <v>0.82</v>
      </c>
    </row>
  </sheetData>
  <phoneticPr fontId="14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2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9.33203125" style="44" bestFit="1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3" t="s">
        <v>118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166</v>
      </c>
      <c r="O1" s="49" t="s">
        <v>167</v>
      </c>
      <c r="P1" s="49" t="s">
        <v>168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119</v>
      </c>
      <c r="C2" s="47" t="s">
        <v>120</v>
      </c>
      <c r="D2" s="29" t="s">
        <v>121</v>
      </c>
      <c r="E2" s="29" t="s">
        <v>20</v>
      </c>
      <c r="F2" s="29" t="s">
        <v>21</v>
      </c>
      <c r="G2" s="29" t="s">
        <v>22</v>
      </c>
      <c r="H2" s="33">
        <f t="shared" ref="H2:H10" si="0">L2*M2</f>
        <v>965.55564000000004</v>
      </c>
      <c r="I2" s="31"/>
      <c r="J2" s="29" t="s">
        <v>66</v>
      </c>
      <c r="K2" s="33">
        <v>141.91</v>
      </c>
      <c r="L2" s="36">
        <v>8</v>
      </c>
      <c r="M2" s="33">
        <f>K2*0.8505</f>
        <v>120.694455</v>
      </c>
      <c r="N2" s="33">
        <v>122.535</v>
      </c>
      <c r="O2" s="33">
        <f>N2*B18</f>
        <v>105.674184</v>
      </c>
      <c r="P2" s="33">
        <f t="shared" ref="P2:P10" si="1">L2*O2</f>
        <v>845.39347199999997</v>
      </c>
      <c r="Q2" s="31"/>
      <c r="R2" s="29"/>
      <c r="S2" s="31">
        <f t="shared" ref="S2:S11" si="2">(P2-H2)/H2</f>
        <v>-0.12444872467421977</v>
      </c>
      <c r="T2" s="31"/>
    </row>
    <row r="3" spans="1:20">
      <c r="A3" s="29" t="s">
        <v>4</v>
      </c>
      <c r="B3" s="29" t="s">
        <v>122</v>
      </c>
      <c r="C3" s="29" t="s">
        <v>123</v>
      </c>
      <c r="D3" s="29" t="s">
        <v>124</v>
      </c>
      <c r="E3" s="29" t="s">
        <v>20</v>
      </c>
      <c r="F3" s="29" t="s">
        <v>21</v>
      </c>
      <c r="G3" s="29" t="s">
        <v>22</v>
      </c>
      <c r="H3" s="33">
        <f t="shared" si="0"/>
        <v>1031.7415500000002</v>
      </c>
      <c r="I3" s="31">
        <f>(H2+H3)/H11</f>
        <v>0.21980517214909601</v>
      </c>
      <c r="J3" s="29" t="s">
        <v>75</v>
      </c>
      <c r="K3" s="33">
        <v>86.65</v>
      </c>
      <c r="L3" s="36">
        <v>14</v>
      </c>
      <c r="M3" s="33">
        <f>K3*0.8505</f>
        <v>73.695825000000013</v>
      </c>
      <c r="N3" s="33">
        <v>78.569999999999993</v>
      </c>
      <c r="O3" s="33">
        <f>N3*B18</f>
        <v>67.758768000000003</v>
      </c>
      <c r="P3" s="33">
        <f t="shared" si="1"/>
        <v>948.62275199999999</v>
      </c>
      <c r="Q3" s="31">
        <f>(P2+P3)/P11</f>
        <v>0.18497839909264971</v>
      </c>
      <c r="R3" s="33"/>
      <c r="S3" s="31">
        <f t="shared" si="2"/>
        <v>-8.056164647047527E-2</v>
      </c>
      <c r="T3" s="31"/>
    </row>
    <row r="4" spans="1:20">
      <c r="A4" s="29" t="s">
        <v>17</v>
      </c>
      <c r="B4" s="29" t="s">
        <v>125</v>
      </c>
      <c r="C4" s="29" t="s">
        <v>24</v>
      </c>
      <c r="D4" s="29" t="s">
        <v>67</v>
      </c>
      <c r="E4" s="29" t="s">
        <v>20</v>
      </c>
      <c r="F4" s="29" t="s">
        <v>21</v>
      </c>
      <c r="G4" s="29" t="s">
        <v>22</v>
      </c>
      <c r="H4" s="33">
        <f t="shared" si="0"/>
        <v>975.03021000000001</v>
      </c>
      <c r="I4" s="31"/>
      <c r="J4" s="29" t="s">
        <v>54</v>
      </c>
      <c r="K4" s="33">
        <v>52.11</v>
      </c>
      <c r="L4" s="36">
        <v>22</v>
      </c>
      <c r="M4" s="33">
        <f>K4*0.8505</f>
        <v>44.319555000000001</v>
      </c>
      <c r="N4" s="33">
        <v>79.894999999999996</v>
      </c>
      <c r="O4" s="33">
        <f>N4*B18</f>
        <v>68.901448000000002</v>
      </c>
      <c r="P4" s="33">
        <f t="shared" si="1"/>
        <v>1515.831856</v>
      </c>
      <c r="Q4" s="31"/>
      <c r="R4" s="33"/>
      <c r="S4" s="31">
        <f t="shared" si="2"/>
        <v>0.55465116921864399</v>
      </c>
      <c r="T4" s="31"/>
    </row>
    <row r="5" spans="1:20">
      <c r="A5" s="29" t="s">
        <v>17</v>
      </c>
      <c r="B5" s="29" t="s">
        <v>126</v>
      </c>
      <c r="C5" s="29" t="s">
        <v>127</v>
      </c>
      <c r="D5" s="29" t="s">
        <v>128</v>
      </c>
      <c r="E5" s="29" t="s">
        <v>10</v>
      </c>
      <c r="F5" s="29" t="s">
        <v>129</v>
      </c>
      <c r="G5" s="29" t="s">
        <v>130</v>
      </c>
      <c r="H5" s="33">
        <f t="shared" si="0"/>
        <v>1003.5520749999999</v>
      </c>
      <c r="I5" s="31">
        <f>(H4+H5)/H11</f>
        <v>0.21774557233797373</v>
      </c>
      <c r="J5" s="29" t="s">
        <v>66</v>
      </c>
      <c r="K5" s="33">
        <v>52.45</v>
      </c>
      <c r="L5" s="36">
        <v>17</v>
      </c>
      <c r="M5" s="33">
        <f>K5*1.1255</f>
        <v>59.032474999999998</v>
      </c>
      <c r="N5" s="33">
        <v>56.22</v>
      </c>
      <c r="O5" s="33">
        <f>N5*B19</f>
        <v>62.808983999999995</v>
      </c>
      <c r="P5" s="33">
        <f t="shared" si="1"/>
        <v>1067.7527279999999</v>
      </c>
      <c r="Q5" s="31">
        <f>(P4+P5)/P11</f>
        <v>0.26638964234292756</v>
      </c>
      <c r="R5" s="33"/>
      <c r="S5" s="31">
        <f t="shared" si="2"/>
        <v>6.3973414633216708E-2</v>
      </c>
      <c r="T5" s="31"/>
    </row>
    <row r="6" spans="1:20">
      <c r="A6" s="29" t="s">
        <v>46</v>
      </c>
      <c r="B6" s="38" t="s">
        <v>131</v>
      </c>
      <c r="C6" s="29" t="s">
        <v>132</v>
      </c>
      <c r="D6" s="29" t="s">
        <v>133</v>
      </c>
      <c r="E6" s="29" t="s">
        <v>20</v>
      </c>
      <c r="F6" s="29" t="s">
        <v>21</v>
      </c>
      <c r="G6" s="29" t="s">
        <v>22</v>
      </c>
      <c r="H6" s="33">
        <f t="shared" si="0"/>
        <v>1091.0214000000001</v>
      </c>
      <c r="I6" s="31"/>
      <c r="J6" s="29" t="s">
        <v>134</v>
      </c>
      <c r="K6" s="33">
        <v>213.8</v>
      </c>
      <c r="L6" s="36">
        <v>6</v>
      </c>
      <c r="M6" s="33">
        <f>K6*0.8505</f>
        <v>181.83690000000001</v>
      </c>
      <c r="N6" s="33">
        <v>215.62</v>
      </c>
      <c r="O6" s="33">
        <f>N6*B18</f>
        <v>185.95068800000001</v>
      </c>
      <c r="P6" s="33">
        <f t="shared" si="1"/>
        <v>1115.7041280000001</v>
      </c>
      <c r="Q6" s="31"/>
      <c r="R6" s="33"/>
      <c r="S6" s="31">
        <f t="shared" si="2"/>
        <v>2.2623504910169494E-2</v>
      </c>
      <c r="T6" s="31"/>
    </row>
    <row r="7" spans="1:20">
      <c r="A7" s="29" t="s">
        <v>46</v>
      </c>
      <c r="B7" s="29" t="s">
        <v>135</v>
      </c>
      <c r="C7" s="29" t="s">
        <v>136</v>
      </c>
      <c r="D7" s="29" t="s">
        <v>137</v>
      </c>
      <c r="E7" s="29" t="s">
        <v>20</v>
      </c>
      <c r="F7" s="29" t="s">
        <v>21</v>
      </c>
      <c r="G7" s="29" t="s">
        <v>22</v>
      </c>
      <c r="H7" s="33">
        <f t="shared" si="0"/>
        <v>997.44938999999999</v>
      </c>
      <c r="I7" s="31">
        <f>(H6+H7)/H11</f>
        <v>0.22983894626332926</v>
      </c>
      <c r="J7" s="29" t="s">
        <v>134</v>
      </c>
      <c r="K7" s="33">
        <v>83.77</v>
      </c>
      <c r="L7" s="36">
        <v>14</v>
      </c>
      <c r="M7" s="33">
        <f>K7*0.8505</f>
        <v>71.246385000000004</v>
      </c>
      <c r="N7" s="33">
        <v>115.57</v>
      </c>
      <c r="O7" s="33">
        <f>N7*B18</f>
        <v>99.667568000000003</v>
      </c>
      <c r="P7" s="33">
        <f t="shared" si="1"/>
        <v>1395.3459520000001</v>
      </c>
      <c r="Q7" s="31">
        <f>(P6+P7)/P11</f>
        <v>0.25891071531350324</v>
      </c>
      <c r="R7" s="33"/>
      <c r="S7" s="31">
        <f t="shared" si="2"/>
        <v>0.39891403612969289</v>
      </c>
      <c r="T7" s="31"/>
    </row>
    <row r="8" spans="1:20">
      <c r="A8" s="29" t="s">
        <v>26</v>
      </c>
      <c r="B8" s="29" t="s">
        <v>138</v>
      </c>
      <c r="C8" s="29" t="s">
        <v>139</v>
      </c>
      <c r="D8" s="29" t="s">
        <v>140</v>
      </c>
      <c r="E8" s="29" t="s">
        <v>10</v>
      </c>
      <c r="F8" s="29" t="s">
        <v>141</v>
      </c>
      <c r="G8" s="29" t="s">
        <v>16</v>
      </c>
      <c r="H8" s="33">
        <f t="shared" si="0"/>
        <v>1006.02</v>
      </c>
      <c r="I8" s="31">
        <f>(H8)/H11</f>
        <v>0.11071381885108121</v>
      </c>
      <c r="J8" s="29" t="s">
        <v>134</v>
      </c>
      <c r="K8" s="33">
        <v>55.89</v>
      </c>
      <c r="L8" s="36">
        <v>18</v>
      </c>
      <c r="M8" s="33">
        <f>K8</f>
        <v>55.89</v>
      </c>
      <c r="N8" s="33">
        <v>51.4</v>
      </c>
      <c r="O8" s="33">
        <f>N8</f>
        <v>51.4</v>
      </c>
      <c r="P8" s="33">
        <f t="shared" si="1"/>
        <v>925.19999999999993</v>
      </c>
      <c r="Q8" s="31">
        <f>(P8)/P11</f>
        <v>9.5396024044272804E-2</v>
      </c>
      <c r="R8" s="33"/>
      <c r="S8" s="31">
        <f t="shared" si="2"/>
        <v>-8.0336375022365417E-2</v>
      </c>
      <c r="T8" s="31"/>
    </row>
    <row r="9" spans="1:20">
      <c r="A9" s="29" t="s">
        <v>38</v>
      </c>
      <c r="B9" s="38" t="s">
        <v>142</v>
      </c>
      <c r="C9" s="29" t="s">
        <v>143</v>
      </c>
      <c r="D9" s="29" t="s">
        <v>144</v>
      </c>
      <c r="E9" s="29" t="s">
        <v>10</v>
      </c>
      <c r="F9" s="29" t="s">
        <v>145</v>
      </c>
      <c r="G9" s="29" t="s">
        <v>16</v>
      </c>
      <c r="H9" s="33">
        <f t="shared" si="0"/>
        <v>1008.28</v>
      </c>
      <c r="I9" s="31">
        <f>(H9)/H11</f>
        <v>0.11096253481160231</v>
      </c>
      <c r="J9" s="29" t="s">
        <v>75</v>
      </c>
      <c r="K9" s="33">
        <v>19.39</v>
      </c>
      <c r="L9" s="36">
        <v>52</v>
      </c>
      <c r="M9" s="33">
        <f>K9</f>
        <v>19.39</v>
      </c>
      <c r="N9" s="33">
        <v>17.3</v>
      </c>
      <c r="O9" s="33">
        <f>N9</f>
        <v>17.3</v>
      </c>
      <c r="P9" s="33">
        <f t="shared" si="1"/>
        <v>899.6</v>
      </c>
      <c r="Q9" s="31">
        <f>(P9)/P11</f>
        <v>9.2756445341794017E-2</v>
      </c>
      <c r="R9" s="33"/>
      <c r="S9" s="31">
        <f t="shared" si="2"/>
        <v>-0.10778751933986587</v>
      </c>
      <c r="T9" s="31"/>
    </row>
    <row r="10" spans="1:20">
      <c r="A10" s="29" t="s">
        <v>113</v>
      </c>
      <c r="B10" s="29" t="s">
        <v>146</v>
      </c>
      <c r="C10" s="29" t="s">
        <v>147</v>
      </c>
      <c r="D10" s="29" t="s">
        <v>148</v>
      </c>
      <c r="E10" s="29" t="s">
        <v>10</v>
      </c>
      <c r="F10" s="29" t="s">
        <v>129</v>
      </c>
      <c r="G10" s="29" t="s">
        <v>130</v>
      </c>
      <c r="H10" s="33">
        <f t="shared" si="0"/>
        <v>1008.0203099999999</v>
      </c>
      <c r="I10" s="31">
        <f>(H10)/H11</f>
        <v>0.11093395558691747</v>
      </c>
      <c r="J10" s="29" t="s">
        <v>66</v>
      </c>
      <c r="K10" s="33">
        <v>9.7349999999999994</v>
      </c>
      <c r="L10" s="36">
        <v>92</v>
      </c>
      <c r="M10" s="33">
        <f>K10*1.1255</f>
        <v>10.956742499999999</v>
      </c>
      <c r="N10" s="33">
        <v>9.5839999999999996</v>
      </c>
      <c r="O10" s="33">
        <f>N10*B19</f>
        <v>10.7072448</v>
      </c>
      <c r="P10" s="33">
        <f t="shared" si="1"/>
        <v>985.06652159999999</v>
      </c>
      <c r="Q10" s="31">
        <f>(P10)/P11</f>
        <v>0.10156877386485277</v>
      </c>
      <c r="R10" s="33"/>
      <c r="S10" s="31">
        <f t="shared" si="2"/>
        <v>-2.2771156664492104E-2</v>
      </c>
      <c r="T10" s="31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9086.6705750000001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9698.5174095999992</v>
      </c>
      <c r="Q11" s="12">
        <f>SUM(Q2:Q10)</f>
        <v>1.0000000000000002</v>
      </c>
      <c r="R11" s="11"/>
      <c r="S11" s="12">
        <f t="shared" si="2"/>
        <v>6.7334545645724483E-2</v>
      </c>
      <c r="T11" s="12"/>
    </row>
    <row r="13" spans="1:20">
      <c r="A13" s="40" t="s">
        <v>72</v>
      </c>
      <c r="B13" s="40"/>
      <c r="C13" s="40"/>
      <c r="D13" s="40"/>
      <c r="E13" s="40"/>
      <c r="F13" s="40"/>
      <c r="G13" s="40"/>
      <c r="H13" s="41"/>
      <c r="I13" s="42"/>
      <c r="J13" s="40" t="s">
        <v>64</v>
      </c>
      <c r="K13" s="41">
        <v>2010.9459999999999</v>
      </c>
      <c r="L13" s="43"/>
      <c r="M13" s="41"/>
      <c r="N13" s="41">
        <f>'170830_langfr_Geldanlage'!N14</f>
        <v>2157.33</v>
      </c>
      <c r="O13" s="41"/>
      <c r="P13" s="41"/>
      <c r="Q13" s="42"/>
      <c r="R13" s="41" t="s">
        <v>149</v>
      </c>
      <c r="S13" s="42">
        <f>(N13-K13)/K13</f>
        <v>7.2793600623786023E-2</v>
      </c>
      <c r="T13" s="42"/>
    </row>
    <row r="16" spans="1:20">
      <c r="A16" s="35" t="s">
        <v>150</v>
      </c>
      <c r="B16" s="48">
        <v>43012</v>
      </c>
    </row>
    <row r="18" spans="1:2">
      <c r="A18" s="35" t="s">
        <v>22</v>
      </c>
      <c r="B18" s="35">
        <f>'171004_langfr_Geldanlage'!B17</f>
        <v>0.86240000000000006</v>
      </c>
    </row>
    <row r="19" spans="1:2">
      <c r="A19" s="35" t="s">
        <v>130</v>
      </c>
      <c r="B19" s="35">
        <f>'170830_langfr_Geldanlage'!B19</f>
        <v>1.1172</v>
      </c>
    </row>
    <row r="21" spans="1:2">
      <c r="A21" s="50" t="s">
        <v>169</v>
      </c>
      <c r="B21" s="51">
        <f>'170830_langfr_Geldanlage'!B25</f>
        <v>43319</v>
      </c>
    </row>
    <row r="22" spans="1:2">
      <c r="A22" s="50" t="s">
        <v>170</v>
      </c>
      <c r="B22" s="44">
        <f>'171004_langfr_Geldanlage'!B23</f>
        <v>0.82</v>
      </c>
    </row>
  </sheetData>
  <phoneticPr fontId="14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Turnaround Werte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152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166</v>
      </c>
      <c r="O1" s="49" t="s">
        <v>167</v>
      </c>
      <c r="P1" s="49" t="s">
        <v>168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153</v>
      </c>
      <c r="D2" s="29" t="s">
        <v>154</v>
      </c>
      <c r="E2" s="29" t="s">
        <v>10</v>
      </c>
      <c r="F2" s="29" t="s">
        <v>34</v>
      </c>
      <c r="G2" s="29" t="s">
        <v>130</v>
      </c>
      <c r="H2" s="33">
        <f t="shared" ref="H2:H5" si="0">L2*M2</f>
        <v>1014.3000000000001</v>
      </c>
      <c r="I2" s="31"/>
      <c r="J2" s="29" t="s">
        <v>60</v>
      </c>
      <c r="K2" s="33">
        <v>12.88</v>
      </c>
      <c r="L2" s="36">
        <v>70</v>
      </c>
      <c r="M2" s="33">
        <f>K2*1.125</f>
        <v>14.49</v>
      </c>
      <c r="N2" s="33">
        <v>13.63</v>
      </c>
      <c r="O2" s="33">
        <f>N2*B12</f>
        <v>15.227436000000001</v>
      </c>
      <c r="P2" s="33">
        <f t="shared" ref="P2:P5" si="1">L2*O2</f>
        <v>1065.9205200000001</v>
      </c>
      <c r="Q2" s="31"/>
      <c r="R2" s="29"/>
      <c r="S2" s="31">
        <f t="shared" ref="S2:S6" si="2">(P2-H2)/H2</f>
        <v>5.0892753623188458E-2</v>
      </c>
      <c r="T2" s="31"/>
    </row>
    <row r="3" spans="1:20">
      <c r="A3" s="29" t="s">
        <v>4</v>
      </c>
      <c r="B3" s="29" t="s">
        <v>155</v>
      </c>
      <c r="C3" s="37" t="s">
        <v>156</v>
      </c>
      <c r="D3" s="29" t="s">
        <v>157</v>
      </c>
      <c r="E3" s="29" t="s">
        <v>20</v>
      </c>
      <c r="F3" s="29" t="s">
        <v>21</v>
      </c>
      <c r="G3" s="29" t="s">
        <v>22</v>
      </c>
      <c r="H3" s="33">
        <f t="shared" si="0"/>
        <v>1043.18256</v>
      </c>
      <c r="I3" s="31">
        <f>(H2+H3)/H6</f>
        <v>0.50684319868071748</v>
      </c>
      <c r="J3" s="29" t="s">
        <v>60</v>
      </c>
      <c r="K3" s="33">
        <v>104.36</v>
      </c>
      <c r="L3" s="36">
        <v>12</v>
      </c>
      <c r="M3" s="33">
        <f>K3*0.833</f>
        <v>86.931879999999992</v>
      </c>
      <c r="N3" s="33">
        <v>89.83</v>
      </c>
      <c r="O3" s="33">
        <f>N3*B11</f>
        <v>77.469391999999999</v>
      </c>
      <c r="P3" s="33">
        <f t="shared" si="1"/>
        <v>929.63270399999999</v>
      </c>
      <c r="Q3" s="31">
        <f>(P2+P3)/P6</f>
        <v>0.45841432153208644</v>
      </c>
      <c r="R3" s="33"/>
      <c r="S3" s="31">
        <f t="shared" si="2"/>
        <v>-0.10884945775933982</v>
      </c>
      <c r="T3" s="31"/>
    </row>
    <row r="4" spans="1:20">
      <c r="A4" s="29" t="s">
        <v>158</v>
      </c>
      <c r="B4" s="29" t="s">
        <v>159</v>
      </c>
      <c r="C4" s="37" t="s">
        <v>161</v>
      </c>
      <c r="D4" s="29" t="s">
        <v>160</v>
      </c>
      <c r="E4" s="29" t="s">
        <v>20</v>
      </c>
      <c r="F4" s="29" t="s">
        <v>21</v>
      </c>
      <c r="G4" s="29" t="s">
        <v>22</v>
      </c>
      <c r="H4" s="33">
        <f t="shared" si="0"/>
        <v>1000.32471</v>
      </c>
      <c r="I4" s="31">
        <f>(H4)/H6</f>
        <v>0.24642142081426008</v>
      </c>
      <c r="J4" s="29" t="s">
        <v>66</v>
      </c>
      <c r="K4" s="33">
        <v>36.39</v>
      </c>
      <c r="L4" s="36">
        <v>33</v>
      </c>
      <c r="M4" s="33">
        <f>K4*0.833</f>
        <v>30.31287</v>
      </c>
      <c r="N4" s="33">
        <v>36.96</v>
      </c>
      <c r="O4" s="33">
        <f>N4*B11</f>
        <v>31.874304000000002</v>
      </c>
      <c r="P4" s="33">
        <f t="shared" si="1"/>
        <v>1051.852032</v>
      </c>
      <c r="Q4" s="31">
        <f>(P4)/P6</f>
        <v>0.24162925338313423</v>
      </c>
      <c r="R4" s="33"/>
      <c r="S4" s="31">
        <f t="shared" si="2"/>
        <v>5.1510595994374693E-2</v>
      </c>
      <c r="T4" s="31"/>
    </row>
    <row r="5" spans="1:20">
      <c r="A5" s="29" t="s">
        <v>162</v>
      </c>
      <c r="B5" s="29" t="s">
        <v>163</v>
      </c>
      <c r="C5" s="37" t="s">
        <v>164</v>
      </c>
      <c r="D5" s="29" t="s">
        <v>165</v>
      </c>
      <c r="E5" s="29" t="s">
        <v>20</v>
      </c>
      <c r="F5" s="29" t="s">
        <v>21</v>
      </c>
      <c r="G5" s="29" t="s">
        <v>22</v>
      </c>
      <c r="H5" s="33">
        <f t="shared" si="0"/>
        <v>1001.5992</v>
      </c>
      <c r="I5" s="31">
        <f>(H5)/H6</f>
        <v>0.24673538050502244</v>
      </c>
      <c r="J5" s="29" t="s">
        <v>60</v>
      </c>
      <c r="K5" s="33">
        <v>40.08</v>
      </c>
      <c r="L5" s="36">
        <v>30</v>
      </c>
      <c r="M5" s="33">
        <f>K5*0.833</f>
        <v>33.38664</v>
      </c>
      <c r="N5" s="33">
        <v>50.47</v>
      </c>
      <c r="O5" s="33">
        <f>N5*B11</f>
        <v>43.525328000000002</v>
      </c>
      <c r="P5" s="33">
        <f t="shared" si="1"/>
        <v>1305.7598400000002</v>
      </c>
      <c r="Q5" s="31">
        <f>(P5)/P6</f>
        <v>0.29995642508477927</v>
      </c>
      <c r="R5" s="33"/>
      <c r="S5" s="31">
        <f t="shared" si="2"/>
        <v>0.30367500293530603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4059.4064699999999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4353.1650960000006</v>
      </c>
      <c r="Q6" s="12">
        <f>SUM(Q2:Q5)</f>
        <v>1</v>
      </c>
      <c r="R6" s="11"/>
      <c r="S6" s="12">
        <f t="shared" si="2"/>
        <v>7.2364920382067766E-2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2103.44</v>
      </c>
      <c r="L8" s="43"/>
      <c r="M8" s="41"/>
      <c r="N8" s="41">
        <f>'170830_langfr_Geldanlage'!N14</f>
        <v>2157.33</v>
      </c>
      <c r="O8" s="41"/>
      <c r="P8" s="41"/>
      <c r="Q8" s="42"/>
      <c r="R8" s="41" t="s">
        <v>64</v>
      </c>
      <c r="S8" s="42">
        <f>(N8-K8)/K8</f>
        <v>2.5619936865325311E-2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0.86240000000000006</v>
      </c>
    </row>
    <row r="12" spans="1:20">
      <c r="A12" s="35" t="s">
        <v>130</v>
      </c>
      <c r="B12" s="35">
        <f>'170830_langfr_Geldanlage'!B19</f>
        <v>1.1172</v>
      </c>
    </row>
    <row r="14" spans="1:20">
      <c r="A14" s="50" t="s">
        <v>169</v>
      </c>
      <c r="B14" s="51">
        <f>'170830_langfr_Geldanlage'!B25</f>
        <v>43319</v>
      </c>
      <c r="C14" s="58" t="str">
        <f>'170830_langfr_Geldanlage'!C25</f>
        <v>17:45 Uhr</v>
      </c>
    </row>
    <row r="15" spans="1:20">
      <c r="A15" s="50" t="s">
        <v>170</v>
      </c>
      <c r="B15" s="44">
        <v>0.57999999999999996</v>
      </c>
    </row>
  </sheetData>
  <phoneticPr fontId="14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9" t="s">
        <v>176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166</v>
      </c>
      <c r="O1" s="49" t="s">
        <v>167</v>
      </c>
      <c r="P1" s="49" t="s">
        <v>168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3" t="s">
        <v>172</v>
      </c>
      <c r="B2" s="53" t="s">
        <v>173</v>
      </c>
      <c r="C2" s="53" t="s">
        <v>174</v>
      </c>
      <c r="D2" s="53" t="s">
        <v>175</v>
      </c>
      <c r="E2" s="53" t="s">
        <v>20</v>
      </c>
      <c r="F2" s="53" t="s">
        <v>41</v>
      </c>
      <c r="G2" s="53" t="s">
        <v>42</v>
      </c>
      <c r="H2" s="6">
        <f t="shared" ref="H2:H11" si="0">M2*L2</f>
        <v>1025.74432</v>
      </c>
      <c r="I2" s="7"/>
      <c r="J2" s="53" t="s">
        <v>53</v>
      </c>
      <c r="K2" s="6">
        <v>40.729999999999997</v>
      </c>
      <c r="L2" s="18">
        <v>40</v>
      </c>
      <c r="M2" s="6">
        <f>K2*0.6296</f>
        <v>25.643608</v>
      </c>
      <c r="N2" s="6">
        <v>46.61</v>
      </c>
      <c r="O2" s="6">
        <f>N2*B21</f>
        <v>30.888446999999999</v>
      </c>
      <c r="P2" s="6">
        <f t="shared" ref="P2:P11" si="1">L2*O2</f>
        <v>1235.5378799999999</v>
      </c>
      <c r="Q2" s="7"/>
      <c r="R2" s="33"/>
      <c r="S2" s="7">
        <f>(P2-H2)/H2</f>
        <v>0.20452812256372022</v>
      </c>
      <c r="T2" s="7"/>
    </row>
    <row r="3" spans="1:20">
      <c r="A3" s="53" t="s">
        <v>177</v>
      </c>
      <c r="B3" s="53" t="s">
        <v>178</v>
      </c>
      <c r="C3" s="53" t="s">
        <v>179</v>
      </c>
      <c r="D3" s="53" t="s">
        <v>180</v>
      </c>
      <c r="E3" s="53" t="s">
        <v>29</v>
      </c>
      <c r="F3" s="53" t="s">
        <v>181</v>
      </c>
      <c r="G3" s="53" t="s">
        <v>16</v>
      </c>
      <c r="H3" s="6">
        <f t="shared" si="0"/>
        <v>946.80000000000007</v>
      </c>
      <c r="I3" s="7"/>
      <c r="J3" s="53" t="s">
        <v>182</v>
      </c>
      <c r="K3" s="6">
        <v>78.900000000000006</v>
      </c>
      <c r="L3" s="18">
        <v>12</v>
      </c>
      <c r="M3" s="6">
        <f>K3</f>
        <v>78.900000000000006</v>
      </c>
      <c r="N3" s="6">
        <v>88.99</v>
      </c>
      <c r="O3" s="6">
        <f>N3</f>
        <v>88.99</v>
      </c>
      <c r="P3" s="6">
        <f t="shared" si="1"/>
        <v>1067.8799999999999</v>
      </c>
      <c r="Q3" s="7"/>
      <c r="R3" s="26"/>
      <c r="S3" s="7">
        <f t="shared" ref="S3:S12" si="2">(P3-H3)/H3</f>
        <v>0.12788339670468926</v>
      </c>
      <c r="T3" s="7"/>
    </row>
    <row r="4" spans="1:20">
      <c r="A4" s="53" t="s">
        <v>4</v>
      </c>
      <c r="B4" s="53" t="s">
        <v>5</v>
      </c>
      <c r="C4" s="53" t="s">
        <v>6</v>
      </c>
      <c r="D4" s="53" t="s">
        <v>58</v>
      </c>
      <c r="E4" s="53" t="s">
        <v>7</v>
      </c>
      <c r="F4" s="53" t="s">
        <v>7</v>
      </c>
      <c r="G4" s="53" t="s">
        <v>16</v>
      </c>
      <c r="H4" s="6">
        <f t="shared" si="0"/>
        <v>988.00000000000011</v>
      </c>
      <c r="I4" s="7"/>
      <c r="J4" s="53" t="s">
        <v>53</v>
      </c>
      <c r="K4" s="6">
        <v>39.520000000000003</v>
      </c>
      <c r="L4" s="18">
        <v>25</v>
      </c>
      <c r="M4" s="6">
        <f>K4</f>
        <v>39.520000000000003</v>
      </c>
      <c r="N4" s="6">
        <v>36.479999999999997</v>
      </c>
      <c r="O4" s="6">
        <f>N4</f>
        <v>36.479999999999997</v>
      </c>
      <c r="P4" s="6">
        <f t="shared" si="1"/>
        <v>911.99999999999989</v>
      </c>
      <c r="Q4" s="7"/>
      <c r="R4" s="28"/>
      <c r="S4" s="7">
        <f t="shared" si="2"/>
        <v>-7.6923076923077149E-2</v>
      </c>
      <c r="T4" s="7"/>
    </row>
    <row r="5" spans="1:20">
      <c r="A5" s="53" t="s">
        <v>17</v>
      </c>
      <c r="B5" s="53" t="s">
        <v>183</v>
      </c>
      <c r="C5" s="53" t="s">
        <v>184</v>
      </c>
      <c r="D5" s="53" t="s">
        <v>185</v>
      </c>
      <c r="E5" s="53" t="s">
        <v>10</v>
      </c>
      <c r="F5" s="53" t="s">
        <v>15</v>
      </c>
      <c r="G5" s="53" t="s">
        <v>16</v>
      </c>
      <c r="H5" s="6">
        <f t="shared" si="0"/>
        <v>1068</v>
      </c>
      <c r="I5" s="7"/>
      <c r="J5" s="53" t="s">
        <v>60</v>
      </c>
      <c r="K5" s="6">
        <v>106.8</v>
      </c>
      <c r="L5" s="18">
        <v>10</v>
      </c>
      <c r="M5" s="6">
        <f>K5</f>
        <v>106.8</v>
      </c>
      <c r="N5" s="6">
        <v>111.35</v>
      </c>
      <c r="O5" s="6">
        <f>N5</f>
        <v>111.35</v>
      </c>
      <c r="P5" s="6">
        <f t="shared" si="1"/>
        <v>1113.5</v>
      </c>
      <c r="Q5" s="7"/>
      <c r="R5" s="33"/>
      <c r="S5" s="7">
        <f t="shared" si="2"/>
        <v>4.2602996254681648E-2</v>
      </c>
      <c r="T5" s="7"/>
    </row>
    <row r="6" spans="1:20">
      <c r="A6" s="53" t="s">
        <v>25</v>
      </c>
      <c r="B6" s="53" t="s">
        <v>190</v>
      </c>
      <c r="C6" s="53" t="s">
        <v>188</v>
      </c>
      <c r="D6" s="53" t="s">
        <v>189</v>
      </c>
      <c r="E6" s="53" t="s">
        <v>20</v>
      </c>
      <c r="F6" s="53" t="s">
        <v>21</v>
      </c>
      <c r="G6" s="53" t="s">
        <v>22</v>
      </c>
      <c r="H6" s="6">
        <f t="shared" si="0"/>
        <v>1052.9375520000001</v>
      </c>
      <c r="I6" s="7"/>
      <c r="J6" s="53" t="s">
        <v>75</v>
      </c>
      <c r="K6" s="6">
        <v>216.28</v>
      </c>
      <c r="L6" s="18">
        <v>6</v>
      </c>
      <c r="M6" s="6">
        <f>K6*0.8114</f>
        <v>175.48959200000002</v>
      </c>
      <c r="N6" s="6">
        <v>215.89</v>
      </c>
      <c r="O6" s="6">
        <f>N6*B18</f>
        <v>186.183536</v>
      </c>
      <c r="P6" s="6">
        <f t="shared" si="1"/>
        <v>1117.101216</v>
      </c>
      <c r="Q6" s="7"/>
      <c r="R6" s="22"/>
      <c r="S6" s="7">
        <f t="shared" si="2"/>
        <v>6.0937767750921586E-2</v>
      </c>
      <c r="T6" s="7"/>
    </row>
    <row r="7" spans="1:20">
      <c r="A7" s="53" t="s">
        <v>26</v>
      </c>
      <c r="B7" s="53" t="s">
        <v>191</v>
      </c>
      <c r="C7" s="53" t="s">
        <v>186</v>
      </c>
      <c r="D7" s="53" t="s">
        <v>192</v>
      </c>
      <c r="E7" s="53" t="s">
        <v>10</v>
      </c>
      <c r="F7" s="53" t="s">
        <v>15</v>
      </c>
      <c r="G7" s="53" t="s">
        <v>16</v>
      </c>
      <c r="H7" s="6">
        <f t="shared" si="0"/>
        <v>1015</v>
      </c>
      <c r="I7" s="7"/>
      <c r="J7" s="53" t="s">
        <v>193</v>
      </c>
      <c r="K7" s="6">
        <v>507.5</v>
      </c>
      <c r="L7" s="18">
        <v>2</v>
      </c>
      <c r="M7" s="6">
        <f>K7</f>
        <v>507.5</v>
      </c>
      <c r="N7" s="6">
        <v>583</v>
      </c>
      <c r="O7" s="6">
        <f>N7</f>
        <v>583</v>
      </c>
      <c r="P7" s="6">
        <f t="shared" si="1"/>
        <v>1166</v>
      </c>
      <c r="Q7" s="7"/>
      <c r="R7" s="28"/>
      <c r="S7" s="7">
        <f t="shared" si="2"/>
        <v>0.14876847290640394</v>
      </c>
      <c r="T7" s="7"/>
    </row>
    <row r="8" spans="1:20">
      <c r="A8" s="53" t="s">
        <v>26</v>
      </c>
      <c r="B8" s="53" t="s">
        <v>32</v>
      </c>
      <c r="C8" s="53" t="s">
        <v>33</v>
      </c>
      <c r="D8" s="53" t="s">
        <v>57</v>
      </c>
      <c r="E8" s="53" t="s">
        <v>10</v>
      </c>
      <c r="F8" s="53" t="s">
        <v>194</v>
      </c>
      <c r="G8" s="53" t="s">
        <v>130</v>
      </c>
      <c r="H8" s="6">
        <f t="shared" si="0"/>
        <v>1025.28855</v>
      </c>
      <c r="I8" s="7"/>
      <c r="J8" s="53" t="s">
        <v>53</v>
      </c>
      <c r="K8" s="6">
        <v>19.5</v>
      </c>
      <c r="L8" s="18">
        <v>47</v>
      </c>
      <c r="M8" s="6">
        <f>K8*1.1187</f>
        <v>21.81465</v>
      </c>
      <c r="N8" s="6">
        <v>22.92</v>
      </c>
      <c r="O8" s="6">
        <f>N8*B19</f>
        <v>25.606224000000001</v>
      </c>
      <c r="P8" s="6">
        <f t="shared" si="1"/>
        <v>1203.492528</v>
      </c>
      <c r="Q8" s="7"/>
      <c r="R8" s="33"/>
      <c r="S8" s="7">
        <f t="shared" si="2"/>
        <v>0.17380861026878727</v>
      </c>
      <c r="T8" s="7"/>
    </row>
    <row r="9" spans="1:20">
      <c r="A9" s="53" t="s">
        <v>46</v>
      </c>
      <c r="B9" s="53" t="s">
        <v>199</v>
      </c>
      <c r="C9" s="53" t="s">
        <v>200</v>
      </c>
      <c r="D9" s="53" t="s">
        <v>201</v>
      </c>
      <c r="E9" s="53" t="s">
        <v>10</v>
      </c>
      <c r="F9" s="53" t="s">
        <v>112</v>
      </c>
      <c r="G9" s="53" t="s">
        <v>16</v>
      </c>
      <c r="H9" s="6">
        <f t="shared" si="0"/>
        <v>907.6</v>
      </c>
      <c r="I9" s="7"/>
      <c r="J9" s="53" t="s">
        <v>60</v>
      </c>
      <c r="K9" s="6">
        <v>453.8</v>
      </c>
      <c r="L9" s="18">
        <v>2</v>
      </c>
      <c r="M9" s="6">
        <f>K9</f>
        <v>453.8</v>
      </c>
      <c r="N9" s="6">
        <v>457.8</v>
      </c>
      <c r="O9" s="6">
        <f>N9</f>
        <v>457.8</v>
      </c>
      <c r="P9" s="6">
        <f t="shared" si="1"/>
        <v>915.6</v>
      </c>
      <c r="Q9" s="7"/>
      <c r="R9" s="33"/>
      <c r="S9" s="7">
        <f t="shared" si="2"/>
        <v>8.8144557073600704E-3</v>
      </c>
      <c r="T9" s="7"/>
    </row>
    <row r="10" spans="1:20">
      <c r="A10" s="53" t="s">
        <v>38</v>
      </c>
      <c r="B10" s="53" t="s">
        <v>202</v>
      </c>
      <c r="C10" s="53" t="s">
        <v>187</v>
      </c>
      <c r="D10" s="53" t="s">
        <v>203</v>
      </c>
      <c r="E10" s="53" t="s">
        <v>20</v>
      </c>
      <c r="F10" s="53" t="s">
        <v>21</v>
      </c>
      <c r="G10" s="53" t="s">
        <v>22</v>
      </c>
      <c r="H10" s="6">
        <f t="shared" si="0"/>
        <v>990.784312</v>
      </c>
      <c r="I10" s="7"/>
      <c r="J10" s="53" t="s">
        <v>204</v>
      </c>
      <c r="K10" s="6">
        <v>43.61</v>
      </c>
      <c r="L10" s="18">
        <v>28</v>
      </c>
      <c r="M10" s="6">
        <f>K10*0.8114</f>
        <v>35.385154</v>
      </c>
      <c r="N10" s="6">
        <v>43.335000000000001</v>
      </c>
      <c r="O10" s="6">
        <f>N10*B18</f>
        <v>37.372104</v>
      </c>
      <c r="P10" s="6">
        <f t="shared" si="1"/>
        <v>1046.4189120000001</v>
      </c>
      <c r="Q10" s="7"/>
      <c r="R10" s="28"/>
      <c r="S10" s="7">
        <f t="shared" si="2"/>
        <v>5.615208005029463E-2</v>
      </c>
      <c r="T10" s="7"/>
    </row>
    <row r="11" spans="1:20" ht="30">
      <c r="A11" s="53" t="s">
        <v>38</v>
      </c>
      <c r="B11" s="56" t="s">
        <v>105</v>
      </c>
      <c r="C11" s="53" t="s">
        <v>106</v>
      </c>
      <c r="D11" s="53" t="s">
        <v>107</v>
      </c>
      <c r="E11" s="53" t="s">
        <v>29</v>
      </c>
      <c r="F11" s="53" t="s">
        <v>108</v>
      </c>
      <c r="G11" s="53" t="s">
        <v>22</v>
      </c>
      <c r="H11" s="6">
        <f t="shared" si="0"/>
        <v>922.82144799999992</v>
      </c>
      <c r="I11" s="7"/>
      <c r="J11" s="53" t="s">
        <v>60</v>
      </c>
      <c r="K11" s="6">
        <v>284.33</v>
      </c>
      <c r="L11" s="18">
        <v>4</v>
      </c>
      <c r="M11" s="6">
        <f>K11*0.8114</f>
        <v>230.70536199999998</v>
      </c>
      <c r="N11" s="6">
        <v>262.05</v>
      </c>
      <c r="O11" s="6">
        <f>N11*B18</f>
        <v>225.99192000000002</v>
      </c>
      <c r="P11" s="6">
        <f t="shared" si="1"/>
        <v>903.96768000000009</v>
      </c>
      <c r="Q11" s="7"/>
      <c r="R11" s="33"/>
      <c r="S11" s="7">
        <f t="shared" si="2"/>
        <v>-2.043056979317177E-2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10681.498215999998</v>
      </c>
      <c r="Q12" s="12"/>
      <c r="R12" s="11"/>
      <c r="S12" s="12">
        <f t="shared" si="2"/>
        <v>7.4275752096938472E-2</v>
      </c>
      <c r="T12" s="1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2" t="s">
        <v>171</v>
      </c>
      <c r="K14" s="15">
        <v>2089.9699999999998</v>
      </c>
      <c r="L14" s="20"/>
      <c r="M14" s="15"/>
      <c r="N14" s="15">
        <f>'170830_langfr_Geldanlage'!N14</f>
        <v>2157.33</v>
      </c>
      <c r="O14" s="15"/>
      <c r="P14" s="15"/>
      <c r="Q14" s="16"/>
      <c r="R14" s="24" t="s">
        <v>64</v>
      </c>
      <c r="S14" s="16">
        <f>(N14-K14)/K14</f>
        <v>3.2230127705182438E-2</v>
      </c>
      <c r="T14" s="16"/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0.86240000000000006</v>
      </c>
    </row>
    <row r="19" spans="1:3">
      <c r="A19" s="35" t="s">
        <v>151</v>
      </c>
      <c r="B19" s="1">
        <f>'170830_langfr_Geldanlage'!B19</f>
        <v>1.1172</v>
      </c>
    </row>
    <row r="20" spans="1:3">
      <c r="A20" s="50" t="s">
        <v>14</v>
      </c>
      <c r="B20" s="35">
        <v>0.64029999999999998</v>
      </c>
    </row>
    <row r="21" spans="1:3">
      <c r="A21" s="35" t="s">
        <v>42</v>
      </c>
      <c r="B21" s="1">
        <f>'170830_langfr_Geldanlage'!B21</f>
        <v>0.66269999999999996</v>
      </c>
    </row>
    <row r="24" spans="1:3">
      <c r="A24" s="50" t="s">
        <v>169</v>
      </c>
      <c r="B24" s="51">
        <f>'170830_langfr_Geldanlage'!B25</f>
        <v>43319</v>
      </c>
      <c r="C24" s="57" t="str">
        <f>'171004_langfr_Geldanlage'!C22</f>
        <v>17:45 Uhr</v>
      </c>
    </row>
    <row r="25" spans="1:3">
      <c r="A25" s="50" t="s">
        <v>170</v>
      </c>
      <c r="B25" s="2">
        <v>0.42</v>
      </c>
    </row>
  </sheetData>
  <phoneticPr fontId="14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170830_langfr_Geldanlage</vt:lpstr>
      <vt:lpstr>171004_langfr_Geldanlage</vt:lpstr>
      <vt:lpstr>171004_Turnaroundwerte</vt:lpstr>
      <vt:lpstr>171213_2018_Empfehlungsliste</vt:lpstr>
      <vt:lpstr>180302_langfr_Geldanlage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2018-08-07T16:04:50Z</dcterms:modified>
</cp:coreProperties>
</file>