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5"/>
  </bookViews>
  <sheets>
    <sheet name="170830_langfr_Geldanlage" sheetId="1" r:id="rId1"/>
    <sheet name="171004_langfr_Geldanlage" sheetId="2" r:id="rId2"/>
    <sheet name="171004_Turnaroundwerte" sheetId="3" r:id="rId3"/>
    <sheet name="171213_2018_Empfehlungsliste" sheetId="5" r:id="rId4"/>
    <sheet name="180302_langfr_Geldanlage" sheetId="6" r:id="rId5"/>
    <sheet name="180817_langfr_Geldanlage" sheetId="7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7" l="1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C14" i="5"/>
  <c r="B22" i="3"/>
  <c r="B21" i="6"/>
  <c r="B19" i="6"/>
  <c r="B18" i="6"/>
  <c r="B24" i="6"/>
  <c r="B14" i="5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N13" i="3"/>
  <c r="N14" i="2"/>
  <c r="B12" i="5"/>
  <c r="B11" i="5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<sst xmlns="http://schemas.openxmlformats.org/spreadsheetml/2006/main" count="595" uniqueCount="244">
  <si>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</si>
  <si>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</si>
  <si>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</si>
  <si>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</si>
  <si>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</si>
  <si>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</si>
  <si>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</si>
  <si>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</si>
  <si>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</si>
  <si>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</si>
  <si>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</si>
  <si>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</si>
  <si>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</si>
  <si>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</si>
  <si>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</si>
  <si>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</si>
  <si>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</si>
  <si>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</si>
  <si>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</si>
  <si>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</si>
  <si>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</si>
  <si>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</si>
  <si>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</si>
  <si>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</si>
  <si>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</si>
  <si>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</si>
  <si>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</si>
  <si>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</si>
  <si>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</si>
  <si>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</si>
  <si>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</si>
  <si>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</si>
  <si>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</si>
  <si>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</si>
  <si>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</si>
  <si>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</si>
  <si>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</si>
  <si>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</si>
  <si>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</si>
  <si>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</si>
  <si>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</si>
  <si>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</si>
  <si>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</si>
  <si>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</si>
  <si>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</si>
  <si>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</si>
  <si>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</si>
  <si>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</si>
  <si>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</si>
  <si>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</si>
  <si>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</si>
  <si>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</si>
  <si>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</si>
  <si>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</si>
  <si>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</si>
  <si>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</si>
  <si>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</si>
  <si>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</si>
  <si>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</si>
  <si>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</si>
  <si>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</si>
  <si>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</si>
  <si>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</si>
  <si>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</si>
  <si>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</si>
  <si>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</si>
  <si>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</si>
  <si>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</si>
  <si>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</si>
  <si>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</si>
  <si>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</si>
  <si>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</si>
  <si>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</si>
  <si>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</si>
  <si>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</si>
  <si>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</si>
  <si>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</si>
  <si>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</si>
  <si>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</si>
  <si>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</si>
  <si>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</si>
  <si>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</si>
  <si>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</si>
  <si>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</si>
  <si>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</si>
  <si>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</si>
  <si>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</si>
  <si>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</si>
  <si>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</si>
  <si>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</si>
  <si>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</si>
  <si>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</si>
  <si>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</si>
  <si>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</si>
  <si>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</si>
  <si>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</si>
  <si>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</si>
  <si>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</si>
  <si>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</si>
  <si>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</si>
  <si>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</si>
  <si>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</si>
  <si>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</si>
  <si>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</si>
  <si>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</si>
  <si>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</si>
  <si>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</si>
  <si>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</si>
  <si>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</si>
  <si>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</si>
  <si>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</si>
  <si>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</si>
  <si>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</si>
  <si>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</si>
  <si>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</si>
  <si>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</si>
  <si>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</si>
  <si>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</si>
  <si>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</si>
  <si>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</si>
  <si>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</si>
  <si>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</si>
  <si>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</si>
  <si>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</si>
  <si>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</si>
  <si>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</si>
  <si>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</si>
  <si>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</si>
  <si>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</si>
  <si>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</si>
  <si>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</si>
  <si>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</si>
  <si>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</si>
  <si>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</si>
  <si>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</si>
  <si>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</si>
  <si>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</si>
  <si>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</si>
  <si>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</si>
  <si>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</si>
  <si>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</si>
  <si>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</si>
  <si>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</si>
  <si>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</si>
  <si>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</si>
  <si>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</si>
  <si>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</si>
  <si>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</si>
  <si>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</si>
  <si>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</si>
  <si>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</si>
  <si>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</si>
  <si>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</si>
  <si>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</si>
  <si>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</si>
  <si>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</si>
  <si>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</si>
  <si>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</si>
  <si>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</si>
  <si>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</si>
  <si>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</si>
  <si>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</si>
  <si>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</si>
  <si>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</si>
  <si>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</si>
  <si>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</si>
  <si>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</si>
  <si>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</si>
  <si>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</si>
  <si>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</si>
  <si>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</si>
  <si>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</si>
  <si>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</si>
  <si>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</si>
  <si>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</si>
  <si>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</si>
  <si>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</si>
  <si>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</si>
  <si>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</si>
  <si>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</si>
  <si>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</si>
  <si>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</si>
  <si>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</si>
  <si>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</si>
  <si>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</si>
  <si>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</si>
  <si>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</si>
  <si>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</si>
  <si>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</si>
  <si>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</si>
  <si>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</si>
  <si>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</si>
  <si>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</si>
  <si>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</si>
  <si>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</si>
  <si>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</si>
  <si>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</si>
  <si>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</si>
  <si>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</si>
  <si>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</si>
  <si>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</si>
  <si>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</si>
  <si>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</si>
  <si>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</si>
  <si>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r>
      <t>Lebe</t>
    </r>
    <r>
      <rPr>
        <sz val="12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ittel Hersteller u.a. Fleischprodukte</t>
    </r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</si>
  <si>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</si>
  <si>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</si>
  <si>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</si>
  <si>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</si>
  <si>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</si>
  <si>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</si>
  <si>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</si>
  <si>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</si>
  <si>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</si>
  <si>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</si>
  <si>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</si>
  <si>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</si>
  <si>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</si>
  <si>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</si>
  <si>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</si>
  <si>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</si>
  <si>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</si>
  <si>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</si>
  <si>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</si>
  <si>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</si>
  <si>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</si>
  <si>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</si>
  <si>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</si>
  <si>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</si>
  <si>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</si>
  <si>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</si>
  <si>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</si>
  <si>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</si>
  <si>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</si>
  <si>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</si>
  <si>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</si>
  <si>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</si>
  <si>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</si>
  <si>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</si>
  <si>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</si>
  <si>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</si>
  <si>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mittags bzw. Vorabend US-Börse</t>
  </si>
  <si>
    <t>Aufwärts - 0,91%</t>
  </si>
  <si>
    <t>200 Tage Linie - -0,86%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</si>
</sst>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0">
    <xf numFmtId="0" fontId="0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10" fillId="0" borderId="0" xfId="0" applyFont="1"/>
    <xf numFmtId="4" fontId="10" fillId="0" borderId="0" xfId="0" applyNumberFormat="1" applyFont="1"/>
    <xf numFmtId="10" fontId="10" fillId="0" borderId="0" xfId="0" applyNumberFormat="1" applyFont="1"/>
    <xf numFmtId="0" fontId="12" fillId="0" borderId="0" xfId="0" applyFont="1"/>
    <xf numFmtId="0" fontId="10" fillId="0" borderId="1" xfId="0" applyFont="1" applyBorder="1"/>
    <xf numFmtId="4" fontId="10" fillId="0" borderId="1" xfId="0" applyNumberFormat="1" applyFont="1" applyBorder="1"/>
    <xf numFmtId="10" fontId="10" fillId="0" borderId="1" xfId="0" applyNumberFormat="1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0" fontId="12" fillId="0" borderId="1" xfId="0" applyFont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0" fontId="9" fillId="2" borderId="0" xfId="0" applyFont="1" applyFill="1"/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8" fillId="0" borderId="1" xfId="0" applyNumberFormat="1" applyFont="1" applyBorder="1" applyAlignment="1">
      <alignment wrapText="1"/>
    </xf>
    <xf numFmtId="1" fontId="10" fillId="0" borderId="1" xfId="0" applyNumberFormat="1" applyFont="1" applyBorder="1"/>
    <xf numFmtId="1" fontId="12" fillId="0" borderId="1" xfId="0" applyNumberFormat="1" applyFont="1" applyBorder="1"/>
    <xf numFmtId="1" fontId="10" fillId="2" borderId="0" xfId="0" applyNumberFormat="1" applyFont="1" applyFill="1"/>
    <xf numFmtId="1" fontId="10" fillId="0" borderId="0" xfId="0" applyNumberFormat="1" applyFont="1"/>
    <xf numFmtId="4" fontId="8" fillId="0" borderId="1" xfId="0" applyNumberFormat="1" applyFont="1" applyBorder="1"/>
    <xf numFmtId="10" fontId="8" fillId="0" borderId="1" xfId="0" applyNumberFormat="1" applyFont="1" applyBorder="1" applyAlignment="1">
      <alignment wrapText="1"/>
    </xf>
    <xf numFmtId="4" fontId="7" fillId="2" borderId="0" xfId="0" applyNumberFormat="1" applyFont="1" applyFill="1"/>
    <xf numFmtId="4" fontId="7" fillId="0" borderId="1" xfId="0" applyNumberFormat="1" applyFont="1" applyBorder="1" applyAlignment="1">
      <alignment wrapText="1"/>
    </xf>
    <xf numFmtId="4" fontId="7" fillId="0" borderId="1" xfId="0" applyNumberFormat="1" applyFont="1" applyBorder="1"/>
    <xf numFmtId="0" fontId="7" fillId="2" borderId="0" xfId="0" applyFont="1" applyFill="1"/>
    <xf numFmtId="4" fontId="6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wrapText="1"/>
    </xf>
    <xf numFmtId="10" fontId="5" fillId="0" borderId="1" xfId="0" applyNumberFormat="1" applyFont="1" applyBorder="1"/>
    <xf numFmtId="1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10" fontId="5" fillId="0" borderId="1" xfId="0" applyNumberFormat="1" applyFont="1" applyBorder="1" applyAlignment="1">
      <alignment wrapText="1"/>
    </xf>
    <xf numFmtId="0" fontId="5" fillId="0" borderId="0" xfId="0" applyFont="1"/>
    <xf numFmtId="1" fontId="5" fillId="0" borderId="1" xfId="0" applyNumberFormat="1" applyFont="1" applyBorder="1"/>
    <xf numFmtId="0" fontId="5" fillId="0" borderId="1" xfId="0" applyFont="1" applyFill="1" applyBorder="1"/>
    <xf numFmtId="0" fontId="16" fillId="0" borderId="1" xfId="0" applyFont="1" applyBorder="1"/>
    <xf numFmtId="0" fontId="0" fillId="0" borderId="1" xfId="0" applyFont="1" applyBorder="1" applyAlignment="1">
      <alignment wrapText="1"/>
    </xf>
    <xf numFmtId="0" fontId="5" fillId="2" borderId="0" xfId="0" applyFont="1" applyFill="1"/>
    <xf numFmtId="4" fontId="5" fillId="2" borderId="0" xfId="0" applyNumberFormat="1" applyFont="1" applyFill="1"/>
    <xf numFmtId="10" fontId="5" fillId="2" borderId="0" xfId="0" applyNumberFormat="1" applyFont="1" applyFill="1"/>
    <xf numFmtId="1" fontId="5" fillId="2" borderId="0" xfId="0" applyNumberFormat="1" applyFont="1" applyFill="1"/>
    <xf numFmtId="4" fontId="5" fillId="0" borderId="0" xfId="0" applyNumberFormat="1" applyFont="1"/>
    <xf numFmtId="10" fontId="5" fillId="0" borderId="0" xfId="0" applyNumberFormat="1" applyFont="1"/>
    <xf numFmtId="1" fontId="5" fillId="0" borderId="0" xfId="0" applyNumberFormat="1" applyFont="1"/>
    <xf numFmtId="0" fontId="0" fillId="0" borderId="1" xfId="0" applyFont="1" applyBorder="1"/>
    <xf numFmtId="15" fontId="5" fillId="0" borderId="0" xfId="0" applyNumberFormat="1" applyFont="1"/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10" fillId="0" borderId="0" xfId="0" applyNumberFormat="1" applyFont="1"/>
    <xf numFmtId="0" fontId="4" fillId="2" borderId="0" xfId="0" applyFont="1" applyFill="1"/>
    <xf numFmtId="0" fontId="4" fillId="0" borderId="1" xfId="0" applyFont="1" applyBorder="1"/>
    <xf numFmtId="4" fontId="4" fillId="0" borderId="0" xfId="0" applyNumberFormat="1" applyFont="1"/>
    <xf numFmtId="10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17" fillId="0" borderId="0" xfId="0" applyFont="1"/>
    <xf numFmtId="0" fontId="2" fillId="0" borderId="1" xfId="0" applyFont="1" applyBorder="1"/>
    <xf numFmtId="0" fontId="1" fillId="2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/>
  </cellXfs>
  <cellStyles count="23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6" sqref="C26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9" t="s">
        <v>70</v>
      </c>
      <c r="S1" s="23" t="s">
        <v>74</v>
      </c>
      <c r="T1" s="55" t="s">
        <v>197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36.479999999999997</v>
      </c>
      <c r="O2" s="6">
        <f>N2</f>
        <v>36.479999999999997</v>
      </c>
      <c r="P2" s="6">
        <f t="shared" ref="P2:P11" si="1">L2*O2</f>
        <v>802.56</v>
      </c>
      <c r="Q2" s="7"/>
      <c r="R2" s="7">
        <f t="shared" ref="R2:R12" si="2">(P2-H2)/H2</f>
        <v>-0.19665271966527201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76.88</v>
      </c>
      <c r="O3" s="6">
        <f>N3</f>
        <v>76.88</v>
      </c>
      <c r="P3" s="6">
        <f t="shared" si="1"/>
        <v>1230.08</v>
      </c>
      <c r="Q3" s="7">
        <f>(P2+P3)/P12</f>
        <v>0.18066090009894181</v>
      </c>
      <c r="R3" s="7">
        <f t="shared" si="2"/>
        <v>0.24805194805194794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127.81</v>
      </c>
      <c r="O4" s="6">
        <f>N4</f>
        <v>127.81</v>
      </c>
      <c r="P4" s="6">
        <f t="shared" si="1"/>
        <v>1150.29</v>
      </c>
      <c r="Q4" s="7"/>
      <c r="R4" s="7">
        <f t="shared" si="2"/>
        <v>0.12836585150525295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22.94</v>
      </c>
      <c r="O5" s="6">
        <f>N5*B19</f>
        <v>25.628568000000001</v>
      </c>
      <c r="P5" s="6">
        <f t="shared" si="1"/>
        <v>1025.1427200000001</v>
      </c>
      <c r="Q5" s="7">
        <f>(P4+P5)/P12</f>
        <v>0.19335230699970937</v>
      </c>
      <c r="R5" s="7">
        <f t="shared" si="2"/>
        <v>3.1745893719806795E-2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82.44</v>
      </c>
      <c r="O6" s="6">
        <f>N6*B21</f>
        <v>54.632987999999997</v>
      </c>
      <c r="P6" s="6">
        <f t="shared" si="1"/>
        <v>1311.1917119999998</v>
      </c>
      <c r="Q6" s="7"/>
      <c r="R6" s="7">
        <f t="shared" si="2"/>
        <v>0.30326784351145014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40.92</v>
      </c>
      <c r="O7" s="6">
        <f>N7*B18</f>
        <v>35.964587999999999</v>
      </c>
      <c r="P7" s="6">
        <f t="shared" si="1"/>
        <v>1150.866816</v>
      </c>
      <c r="Q7" s="7">
        <f>(P6+P7)/P12</f>
        <v>0.21882758863584093</v>
      </c>
      <c r="R7" s="7">
        <f t="shared" si="2"/>
        <v>0.15977387939374388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149.10499999999999</v>
      </c>
      <c r="O8" s="6">
        <f>N8*B18</f>
        <v>131.0483845</v>
      </c>
      <c r="P8" s="6">
        <f t="shared" si="1"/>
        <v>1179.4354604999999</v>
      </c>
      <c r="Q8" s="7"/>
      <c r="R8" s="7">
        <f t="shared" si="2"/>
        <v>0.19254149149149136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80</v>
      </c>
      <c r="O9" s="6">
        <f>N9*B18</f>
        <v>70.311999999999998</v>
      </c>
      <c r="P9" s="6">
        <f t="shared" si="1"/>
        <v>1617.1759999999999</v>
      </c>
      <c r="Q9" s="7">
        <f>(P8+P9)/P12</f>
        <v>0.24856262972338744</v>
      </c>
      <c r="R9" s="7">
        <f t="shared" si="2"/>
        <v>0.59112921475446945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59.78</v>
      </c>
      <c r="O10" s="6">
        <f>N10*B18</f>
        <v>52.540642000000005</v>
      </c>
      <c r="P10" s="6">
        <f t="shared" si="1"/>
        <v>945.73155600000007</v>
      </c>
      <c r="Q10" s="7">
        <f>P10/P12</f>
        <v>8.4056554116288582E-2</v>
      </c>
      <c r="R10" s="7">
        <f t="shared" si="2"/>
        <v>-2.104263089249114E-2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234.4</v>
      </c>
      <c r="O11" s="6">
        <f>N11*B22</f>
        <v>22.66648</v>
      </c>
      <c r="P11" s="6">
        <f t="shared" si="1"/>
        <v>838.65976000000001</v>
      </c>
      <c r="Q11" s="7">
        <f>P11/P12</f>
        <v>7.4540020425831688E-2</v>
      </c>
      <c r="R11" s="7">
        <f t="shared" si="2"/>
        <v>-0.15486651752423566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11251.134024500001</v>
      </c>
      <c r="Q12" s="12"/>
      <c r="R12" s="12">
        <f t="shared" si="2"/>
        <v>0.12965121136605756</v>
      </c>
      <c r="S12" s="12"/>
      <c r="T12" s="12">
        <f>AVERAGE(T2:T11)</f>
        <v>1.755E-2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2157.33</v>
      </c>
      <c r="O14" s="15"/>
      <c r="P14" s="15"/>
      <c r="Q14" s="16"/>
      <c r="R14" s="16">
        <f>(N14-K14)/K14</f>
        <v>0.10772619677232184</v>
      </c>
      <c r="S14" s="16"/>
    </row>
    <row r="17" spans="1:3">
      <c r="A17" s="35" t="s">
        <v>117</v>
      </c>
      <c r="B17" s="50" t="s">
        <v>194</v>
      </c>
    </row>
    <row r="18" spans="1:3">
      <c r="A18" s="35" t="s">
        <v>22</v>
      </c>
      <c r="B18" s="35">
        <v>0.87890000000000001</v>
      </c>
    </row>
    <row r="19" spans="1:3">
      <c r="A19" s="35" t="s">
        <v>151</v>
      </c>
      <c r="B19" s="1">
        <v>1.1172</v>
      </c>
    </row>
    <row r="20" spans="1:3">
      <c r="A20" s="35" t="s">
        <v>31</v>
      </c>
      <c r="B20" s="35">
        <v>7.7000000000000002E-3</v>
      </c>
    </row>
    <row r="21" spans="1:3">
      <c r="A21" s="35" t="s">
        <v>42</v>
      </c>
      <c r="B21" s="1">
        <v>0.66269999999999996</v>
      </c>
    </row>
    <row r="22" spans="1:3">
      <c r="A22" s="35" t="s">
        <v>50</v>
      </c>
      <c r="B22" s="35">
        <v>9.6699999999999994E-2</v>
      </c>
    </row>
    <row r="25" spans="1:3">
      <c r="A25" s="50" t="s">
        <v>168</v>
      </c>
      <c r="B25" s="51">
        <v>43329</v>
      </c>
      <c r="C25" s="58" t="s">
        <v>241</v>
      </c>
    </row>
    <row r="26" spans="1:3">
      <c r="A26" s="50" t="s">
        <v>169</v>
      </c>
      <c r="B26" s="2">
        <v>0.92</v>
      </c>
    </row>
    <row r="29" spans="1:3">
      <c r="A29" s="50" t="s">
        <v>195</v>
      </c>
    </row>
    <row r="30" spans="1:3">
      <c r="A30" s="50" t="s">
        <v>196</v>
      </c>
      <c r="B30" s="54">
        <v>1.2</v>
      </c>
    </row>
    <row r="31" spans="1:3">
      <c r="A31" s="50"/>
    </row>
  </sheetData>
  <phoneticPr fontId="15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676.3</v>
      </c>
      <c r="O2" s="33">
        <f>N2*B19</f>
        <v>90.624200000000002</v>
      </c>
      <c r="P2" s="33">
        <f t="shared" ref="P2:P11" si="1">L2*O2</f>
        <v>1268.7388000000001</v>
      </c>
      <c r="Q2" s="31"/>
      <c r="R2" s="29"/>
      <c r="S2" s="31">
        <f t="shared" ref="S2:S12" si="2">(P2-H2)/H2</f>
        <v>0.25460678372741596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356</v>
      </c>
      <c r="O3" s="33">
        <f>N3</f>
        <v>356</v>
      </c>
      <c r="P3" s="33">
        <f t="shared" si="1"/>
        <v>712</v>
      </c>
      <c r="Q3" s="31">
        <f>(P2+P3)/P12</f>
        <v>0.17478250492396571</v>
      </c>
      <c r="R3" s="33"/>
      <c r="S3" s="31">
        <f t="shared" si="2"/>
        <v>-0.14526015543780202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444.7</v>
      </c>
      <c r="O4" s="33">
        <f>N4*B18</f>
        <v>391.69175999999999</v>
      </c>
      <c r="P4" s="33">
        <f t="shared" si="1"/>
        <v>1175.07528</v>
      </c>
      <c r="Q4" s="31"/>
      <c r="R4" s="33"/>
      <c r="S4" s="31">
        <f t="shared" si="2"/>
        <v>-2.4541041512242831E-2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56.99</v>
      </c>
      <c r="O5" s="33">
        <f>N5</f>
        <v>56.99</v>
      </c>
      <c r="P5" s="33">
        <f t="shared" si="1"/>
        <v>1025.82</v>
      </c>
      <c r="Q5" s="31"/>
      <c r="R5" s="33"/>
      <c r="S5" s="31">
        <f t="shared" si="2"/>
        <v>5.4530651518235412E-2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352.75</v>
      </c>
      <c r="O6" s="33">
        <f>N6*B17</f>
        <v>310.03197499999999</v>
      </c>
      <c r="P6" s="33">
        <f t="shared" si="1"/>
        <v>1240.1279</v>
      </c>
      <c r="Q6" s="31">
        <f>(P4+P5+P6)/P12</f>
        <v>0.30363955656436381</v>
      </c>
      <c r="R6" s="33"/>
      <c r="S6" s="31">
        <f t="shared" si="2"/>
        <v>0.387519302430826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1854.67</v>
      </c>
      <c r="O7" s="33">
        <f>N7*B17</f>
        <v>1630.069463</v>
      </c>
      <c r="P7" s="33">
        <f t="shared" si="1"/>
        <v>1630.069463</v>
      </c>
      <c r="Q7" s="31"/>
      <c r="R7" s="33"/>
      <c r="S7" s="31">
        <f t="shared" si="2"/>
        <v>0.9836486932632198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56.81</v>
      </c>
      <c r="O8" s="33">
        <f>N8*B17</f>
        <v>49.930309000000001</v>
      </c>
      <c r="P8" s="33">
        <f t="shared" si="1"/>
        <v>1248.2577249999999</v>
      </c>
      <c r="Q8" s="31">
        <f>(P7+P8)/P12</f>
        <v>0.25398666190079905</v>
      </c>
      <c r="R8" s="33"/>
      <c r="S8" s="31">
        <f t="shared" si="2"/>
        <v>0.2330814212725108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262.37</v>
      </c>
      <c r="O9" s="33">
        <f>N9*B17</f>
        <v>230.596993</v>
      </c>
      <c r="P9" s="33">
        <f t="shared" si="1"/>
        <v>922.38797199999999</v>
      </c>
      <c r="Q9" s="31">
        <f>(P9)/P12</f>
        <v>8.1392498727190454E-2</v>
      </c>
      <c r="R9" s="33"/>
      <c r="S9" s="31">
        <f t="shared" si="2"/>
        <v>1.1856693728771787E-3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93.14</v>
      </c>
      <c r="O10" s="33">
        <f>N10</f>
        <v>93.14</v>
      </c>
      <c r="P10" s="33">
        <f t="shared" si="1"/>
        <v>931.4</v>
      </c>
      <c r="Q10" s="31">
        <f>(P10)/P12</f>
        <v>8.2187729692669048E-2</v>
      </c>
      <c r="R10" s="33"/>
      <c r="S10" s="31">
        <f t="shared" si="2"/>
        <v>-0.11924349881796692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53.645000000000003</v>
      </c>
      <c r="O11" s="33">
        <f>N11*B17</f>
        <v>47.148590500000005</v>
      </c>
      <c r="P11" s="33">
        <f t="shared" si="1"/>
        <v>1178.7147625</v>
      </c>
      <c r="Q11" s="31">
        <f>(P11)/P12</f>
        <v>0.10401104819101202</v>
      </c>
      <c r="R11" s="33"/>
      <c r="S11" s="31">
        <f t="shared" si="2"/>
        <v>0.17824272900669172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11332.591902499998</v>
      </c>
      <c r="Q12" s="12">
        <f>SUM(Q2:Q11)</f>
        <v>1</v>
      </c>
      <c r="R12" s="11"/>
      <c r="S12" s="12">
        <f t="shared" si="2"/>
        <v>0.16486083137360838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2157.33</v>
      </c>
      <c r="O14" s="41"/>
      <c r="P14" s="41"/>
      <c r="Q14" s="42"/>
      <c r="R14" s="41" t="s">
        <v>64</v>
      </c>
      <c r="S14" s="42">
        <f>(N14-K14)/K14</f>
        <v>7.2793600623786023E-2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0.87890000000000001</v>
      </c>
    </row>
    <row r="18" spans="1:3">
      <c r="A18" s="35" t="s">
        <v>90</v>
      </c>
      <c r="B18" s="35">
        <v>0.88080000000000003</v>
      </c>
    </row>
    <row r="19" spans="1:3">
      <c r="A19" s="35" t="s">
        <v>83</v>
      </c>
      <c r="B19" s="35">
        <v>0.13400000000000001</v>
      </c>
    </row>
    <row r="22" spans="1:3">
      <c r="A22" s="50" t="s">
        <v>168</v>
      </c>
      <c r="B22" s="51">
        <f>'170830_langfr_Geldanlage'!B25</f>
        <v>43329</v>
      </c>
      <c r="C22" s="58" t="str">
        <f>'170830_langfr_Geldanlage'!C25</f>
        <v>mittags bzw. Vorabend US-Börse</v>
      </c>
    </row>
    <row r="23" spans="1:3">
      <c r="A23" s="50" t="s">
        <v>169</v>
      </c>
      <c r="B23" s="44">
        <v>0.82</v>
      </c>
    </row>
  </sheetData>
  <phoneticPr fontId="15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122.535</v>
      </c>
      <c r="O2" s="33">
        <f>N2*B18</f>
        <v>107.6960115</v>
      </c>
      <c r="P2" s="33">
        <f t="shared" ref="P2:P10" si="1">L2*O2</f>
        <v>861.56809199999998</v>
      </c>
      <c r="Q2" s="31"/>
      <c r="R2" s="29"/>
      <c r="S2" s="31">
        <f t="shared" ref="S2:S11" si="2">(P2-H2)/H2</f>
        <v>-0.10769710588609897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78.569999999999993</v>
      </c>
      <c r="O3" s="33">
        <f>N3*B18</f>
        <v>69.055172999999996</v>
      </c>
      <c r="P3" s="33">
        <f t="shared" si="1"/>
        <v>966.77242200000001</v>
      </c>
      <c r="Q3" s="31">
        <f>(P2+P3)/P11</f>
        <v>0.18637733361273964</v>
      </c>
      <c r="R3" s="33"/>
      <c r="S3" s="31">
        <f t="shared" si="2"/>
        <v>-6.2970351441211381E-2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79.894999999999996</v>
      </c>
      <c r="O4" s="33">
        <f>N4*B18</f>
        <v>70.219715499999992</v>
      </c>
      <c r="P4" s="33">
        <f t="shared" si="1"/>
        <v>1544.8337409999999</v>
      </c>
      <c r="Q4" s="31"/>
      <c r="R4" s="33"/>
      <c r="S4" s="31">
        <f t="shared" si="2"/>
        <v>0.58439577067053128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56.22</v>
      </c>
      <c r="O5" s="33">
        <f>N5*B19</f>
        <v>62.808983999999995</v>
      </c>
      <c r="P5" s="33">
        <f t="shared" si="1"/>
        <v>1067.7527279999999</v>
      </c>
      <c r="Q5" s="31">
        <f>(P4+P5)/P11</f>
        <v>0.26632177988533184</v>
      </c>
      <c r="R5" s="33"/>
      <c r="S5" s="31">
        <f t="shared" si="2"/>
        <v>6.3973414633216708E-2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215.62</v>
      </c>
      <c r="O6" s="33">
        <f>N6*B18</f>
        <v>189.50841800000001</v>
      </c>
      <c r="P6" s="33">
        <f t="shared" si="1"/>
        <v>1137.050508</v>
      </c>
      <c r="Q6" s="31"/>
      <c r="R6" s="33"/>
      <c r="S6" s="31">
        <f t="shared" si="2"/>
        <v>4.2189005641869122E-2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115.57</v>
      </c>
      <c r="O7" s="33">
        <f>N7*B18</f>
        <v>101.574473</v>
      </c>
      <c r="P7" s="33">
        <f t="shared" si="1"/>
        <v>1422.0426219999999</v>
      </c>
      <c r="Q7" s="31">
        <f>(P6+P7)/P11</f>
        <v>0.26086877711450207</v>
      </c>
      <c r="R7" s="33"/>
      <c r="S7" s="31">
        <f t="shared" si="2"/>
        <v>0.42567897304543939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51.4</v>
      </c>
      <c r="O8" s="33">
        <f>N8</f>
        <v>51.4</v>
      </c>
      <c r="P8" s="33">
        <f t="shared" si="1"/>
        <v>925.19999999999993</v>
      </c>
      <c r="Q8" s="31">
        <f>(P8)/P11</f>
        <v>9.4313016496721747E-2</v>
      </c>
      <c r="R8" s="33"/>
      <c r="S8" s="31">
        <f t="shared" si="2"/>
        <v>-8.0336375022365417E-2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17.3</v>
      </c>
      <c r="O9" s="33">
        <f>N9</f>
        <v>17.3</v>
      </c>
      <c r="P9" s="33">
        <f t="shared" si="1"/>
        <v>899.6</v>
      </c>
      <c r="Q9" s="31">
        <f>(P9)/P11</f>
        <v>9.1703404280642983E-2</v>
      </c>
      <c r="R9" s="33"/>
      <c r="S9" s="31">
        <f t="shared" si="2"/>
        <v>-0.10778751933986587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9.5839999999999996</v>
      </c>
      <c r="O10" s="33">
        <f>N10*B19</f>
        <v>10.7072448</v>
      </c>
      <c r="P10" s="33">
        <f t="shared" si="1"/>
        <v>985.06652159999999</v>
      </c>
      <c r="Q10" s="31">
        <f>(P10)/P11</f>
        <v>0.10041568861006173</v>
      </c>
      <c r="R10" s="33"/>
      <c r="S10" s="31">
        <f t="shared" si="2"/>
        <v>-2.2771156664492104E-2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9809.8866345999995</v>
      </c>
      <c r="Q11" s="12">
        <f>SUM(Q2:Q10)</f>
        <v>1</v>
      </c>
      <c r="R11" s="11"/>
      <c r="S11" s="12">
        <f t="shared" si="2"/>
        <v>7.9590874746771526E-2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2157.33</v>
      </c>
      <c r="O13" s="41"/>
      <c r="P13" s="41"/>
      <c r="Q13" s="42"/>
      <c r="R13" s="41" t="s">
        <v>149</v>
      </c>
      <c r="S13" s="42">
        <f>(N13-K13)/K13</f>
        <v>7.2793600623786023E-2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0.87890000000000001</v>
      </c>
    </row>
    <row r="19" spans="1:2">
      <c r="A19" s="35" t="s">
        <v>130</v>
      </c>
      <c r="B19" s="35">
        <f>'170830_langfr_Geldanlage'!B19</f>
        <v>1.1172</v>
      </c>
    </row>
    <row r="21" spans="1:2">
      <c r="A21" s="50" t="s">
        <v>168</v>
      </c>
      <c r="B21" s="51">
        <f>'170830_langfr_Geldanlage'!B25</f>
        <v>43329</v>
      </c>
    </row>
    <row r="22" spans="1:2">
      <c r="A22" s="50" t="s">
        <v>169</v>
      </c>
      <c r="B22" s="44">
        <f>'171004_langfr_Geldanlage'!B23</f>
        <v>0.82</v>
      </c>
    </row>
  </sheetData>
  <phoneticPr fontId="15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152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153</v>
      </c>
      <c r="D2" s="29" t="s">
        <v>154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13.63</v>
      </c>
      <c r="O2" s="33">
        <f>N2*B12</f>
        <v>15.227436000000001</v>
      </c>
      <c r="P2" s="33">
        <f t="shared" ref="P2:P5" si="1">L2*O2</f>
        <v>1065.9205200000001</v>
      </c>
      <c r="Q2" s="31"/>
      <c r="R2" s="29"/>
      <c r="S2" s="31">
        <f t="shared" ref="S2:S6" si="2">(P2-H2)/H2</f>
        <v>5.0892753623188458E-2</v>
      </c>
      <c r="T2" s="31"/>
    </row>
    <row r="3" spans="1:20">
      <c r="A3" s="29" t="s">
        <v>4</v>
      </c>
      <c r="B3" s="29" t="s">
        <v>155</v>
      </c>
      <c r="C3" s="37" t="s">
        <v>156</v>
      </c>
      <c r="D3" s="29" t="s">
        <v>157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89.83</v>
      </c>
      <c r="O3" s="33">
        <f>N3*B11</f>
        <v>78.951587000000004</v>
      </c>
      <c r="P3" s="33">
        <f t="shared" si="1"/>
        <v>947.41904399999999</v>
      </c>
      <c r="Q3" s="31">
        <f>(P2+P3)/P6</f>
        <v>0.45591321412308194</v>
      </c>
      <c r="R3" s="33"/>
      <c r="S3" s="31">
        <f t="shared" si="2"/>
        <v>-9.1799383609327198E-2</v>
      </c>
      <c r="T3" s="31"/>
    </row>
    <row r="4" spans="1:20">
      <c r="A4" s="29" t="s">
        <v>158</v>
      </c>
      <c r="B4" s="59" t="s">
        <v>204</v>
      </c>
      <c r="C4" s="37" t="s">
        <v>160</v>
      </c>
      <c r="D4" s="29" t="s">
        <v>159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36.96</v>
      </c>
      <c r="O4" s="33">
        <f>N4*B11</f>
        <v>32.484144000000001</v>
      </c>
      <c r="P4" s="33">
        <f t="shared" si="1"/>
        <v>1071.976752</v>
      </c>
      <c r="Q4" s="31">
        <f>(P4)/P6</f>
        <v>0.24274512616170987</v>
      </c>
      <c r="R4" s="33"/>
      <c r="S4" s="31">
        <f t="shared" si="2"/>
        <v>7.1628783417736486E-2</v>
      </c>
      <c r="T4" s="31"/>
    </row>
    <row r="5" spans="1:20">
      <c r="A5" s="29" t="s">
        <v>161</v>
      </c>
      <c r="B5" s="29" t="s">
        <v>162</v>
      </c>
      <c r="C5" s="37" t="s">
        <v>163</v>
      </c>
      <c r="D5" s="29" t="s">
        <v>164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50.47</v>
      </c>
      <c r="O5" s="33">
        <f>N5*B11</f>
        <v>44.358083000000001</v>
      </c>
      <c r="P5" s="33">
        <f t="shared" si="1"/>
        <v>1330.7424900000001</v>
      </c>
      <c r="Q5" s="31">
        <f>(P5)/P6</f>
        <v>0.30134165971520804</v>
      </c>
      <c r="R5" s="33"/>
      <c r="S5" s="31">
        <f t="shared" si="2"/>
        <v>0.328617764471058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4416.0588060000009</v>
      </c>
      <c r="Q6" s="12">
        <f>SUM(Q2:Q5)</f>
        <v>0.99999999999999978</v>
      </c>
      <c r="R6" s="11"/>
      <c r="S6" s="12">
        <f t="shared" si="2"/>
        <v>8.7858246922486921E-2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2157.33</v>
      </c>
      <c r="O8" s="41"/>
      <c r="P8" s="41"/>
      <c r="Q8" s="42"/>
      <c r="R8" s="41" t="s">
        <v>64</v>
      </c>
      <c r="S8" s="42">
        <f>(N8-K8)/K8</f>
        <v>2.5619936865325311E-2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0.87890000000000001</v>
      </c>
    </row>
    <row r="12" spans="1:20">
      <c r="A12" s="35" t="s">
        <v>130</v>
      </c>
      <c r="B12" s="35">
        <f>'170830_langfr_Geldanlage'!B19</f>
        <v>1.1172</v>
      </c>
    </row>
    <row r="14" spans="1:20">
      <c r="A14" s="50" t="s">
        <v>168</v>
      </c>
      <c r="B14" s="51">
        <f>'170830_langfr_Geldanlage'!B25</f>
        <v>43329</v>
      </c>
      <c r="C14" s="58" t="str">
        <f>'170830_langfr_Geldanlage'!C25</f>
        <v>mittags bzw. Vorabend US-Börse</v>
      </c>
    </row>
    <row r="15" spans="1:20">
      <c r="A15" s="50" t="s">
        <v>169</v>
      </c>
      <c r="B15" s="44">
        <v>0.57999999999999996</v>
      </c>
    </row>
  </sheetData>
  <phoneticPr fontId="15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175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171</v>
      </c>
      <c r="B2" s="53" t="s">
        <v>172</v>
      </c>
      <c r="C2" s="53" t="s">
        <v>173</v>
      </c>
      <c r="D2" s="53" t="s">
        <v>174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46.61</v>
      </c>
      <c r="O2" s="6">
        <f>N2*B21</f>
        <v>30.888446999999999</v>
      </c>
      <c r="P2" s="6">
        <f t="shared" ref="P2:P11" si="1">L2*O2</f>
        <v>1235.5378799999999</v>
      </c>
      <c r="Q2" s="7"/>
      <c r="R2" s="33"/>
      <c r="S2" s="7">
        <f>(P2-H2)/H2</f>
        <v>0.20452812256372022</v>
      </c>
      <c r="T2" s="7"/>
    </row>
    <row r="3" spans="1:20">
      <c r="A3" s="53" t="s">
        <v>176</v>
      </c>
      <c r="B3" s="53" t="s">
        <v>177</v>
      </c>
      <c r="C3" s="53" t="s">
        <v>178</v>
      </c>
      <c r="D3" s="53" t="s">
        <v>179</v>
      </c>
      <c r="E3" s="53" t="s">
        <v>29</v>
      </c>
      <c r="F3" s="53" t="s">
        <v>180</v>
      </c>
      <c r="G3" s="53" t="s">
        <v>16</v>
      </c>
      <c r="H3" s="6">
        <f t="shared" si="0"/>
        <v>946.80000000000007</v>
      </c>
      <c r="I3" s="7"/>
      <c r="J3" s="53" t="s">
        <v>181</v>
      </c>
      <c r="K3" s="6">
        <v>78.900000000000006</v>
      </c>
      <c r="L3" s="18">
        <v>12</v>
      </c>
      <c r="M3" s="6">
        <f>K3</f>
        <v>78.900000000000006</v>
      </c>
      <c r="N3" s="6">
        <v>88.99</v>
      </c>
      <c r="O3" s="6">
        <f>N3</f>
        <v>88.99</v>
      </c>
      <c r="P3" s="6">
        <f t="shared" si="1"/>
        <v>1067.8799999999999</v>
      </c>
      <c r="Q3" s="7"/>
      <c r="R3" s="26"/>
      <c r="S3" s="7">
        <f t="shared" ref="S3:S12" si="2">(P3-H3)/H3</f>
        <v>0.12788339670468926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36.479999999999997</v>
      </c>
      <c r="O4" s="6">
        <f>N4</f>
        <v>36.479999999999997</v>
      </c>
      <c r="P4" s="6">
        <f t="shared" si="1"/>
        <v>911.99999999999989</v>
      </c>
      <c r="Q4" s="7"/>
      <c r="R4" s="28"/>
      <c r="S4" s="7">
        <f t="shared" si="2"/>
        <v>-7.6923076923077149E-2</v>
      </c>
      <c r="T4" s="7"/>
    </row>
    <row r="5" spans="1:20">
      <c r="A5" s="53" t="s">
        <v>17</v>
      </c>
      <c r="B5" s="53" t="s">
        <v>182</v>
      </c>
      <c r="C5" s="53" t="s">
        <v>183</v>
      </c>
      <c r="D5" s="53" t="s">
        <v>184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111.35</v>
      </c>
      <c r="O5" s="6">
        <f>N5</f>
        <v>111.35</v>
      </c>
      <c r="P5" s="6">
        <f t="shared" si="1"/>
        <v>1113.5</v>
      </c>
      <c r="Q5" s="7"/>
      <c r="R5" s="33"/>
      <c r="S5" s="7">
        <f t="shared" si="2"/>
        <v>4.2602996254681648E-2</v>
      </c>
      <c r="T5" s="7"/>
    </row>
    <row r="6" spans="1:20">
      <c r="A6" s="53" t="s">
        <v>25</v>
      </c>
      <c r="B6" s="53" t="s">
        <v>189</v>
      </c>
      <c r="C6" s="53" t="s">
        <v>187</v>
      </c>
      <c r="D6" s="53" t="s">
        <v>188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215.89</v>
      </c>
      <c r="O6" s="6">
        <f>N6*B18</f>
        <v>189.745721</v>
      </c>
      <c r="P6" s="6">
        <f t="shared" si="1"/>
        <v>1138.474326</v>
      </c>
      <c r="Q6" s="7"/>
      <c r="R6" s="22"/>
      <c r="S6" s="7">
        <f t="shared" si="2"/>
        <v>8.1236321980849929E-2</v>
      </c>
      <c r="T6" s="7"/>
    </row>
    <row r="7" spans="1:20">
      <c r="A7" s="53" t="s">
        <v>26</v>
      </c>
      <c r="B7" s="53" t="s">
        <v>190</v>
      </c>
      <c r="C7" s="53" t="s">
        <v>185</v>
      </c>
      <c r="D7" s="53" t="s">
        <v>191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192</v>
      </c>
      <c r="K7" s="6">
        <v>507.5</v>
      </c>
      <c r="L7" s="18">
        <v>2</v>
      </c>
      <c r="M7" s="6">
        <f>K7</f>
        <v>507.5</v>
      </c>
      <c r="N7" s="6">
        <v>583</v>
      </c>
      <c r="O7" s="6">
        <f>N7</f>
        <v>583</v>
      </c>
      <c r="P7" s="6">
        <f t="shared" si="1"/>
        <v>1166</v>
      </c>
      <c r="Q7" s="7"/>
      <c r="R7" s="28"/>
      <c r="S7" s="7">
        <f t="shared" si="2"/>
        <v>0.14876847290640394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193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22.92</v>
      </c>
      <c r="O8" s="6">
        <f>N8*B19</f>
        <v>25.606224000000001</v>
      </c>
      <c r="P8" s="6">
        <f t="shared" si="1"/>
        <v>1203.492528</v>
      </c>
      <c r="Q8" s="7"/>
      <c r="R8" s="33"/>
      <c r="S8" s="7">
        <f t="shared" si="2"/>
        <v>0.17380861026878727</v>
      </c>
      <c r="T8" s="7"/>
    </row>
    <row r="9" spans="1:20">
      <c r="A9" s="53" t="s">
        <v>46</v>
      </c>
      <c r="B9" s="53" t="s">
        <v>198</v>
      </c>
      <c r="C9" s="53" t="s">
        <v>199</v>
      </c>
      <c r="D9" s="53" t="s">
        <v>200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457.8</v>
      </c>
      <c r="O9" s="6">
        <f>N9</f>
        <v>457.8</v>
      </c>
      <c r="P9" s="6">
        <f t="shared" si="1"/>
        <v>915.6</v>
      </c>
      <c r="Q9" s="7"/>
      <c r="R9" s="33"/>
      <c r="S9" s="7">
        <f t="shared" si="2"/>
        <v>8.8144557073600704E-3</v>
      </c>
      <c r="T9" s="7"/>
    </row>
    <row r="10" spans="1:20">
      <c r="A10" s="53" t="s">
        <v>38</v>
      </c>
      <c r="B10" s="53" t="s">
        <v>201</v>
      </c>
      <c r="C10" s="53" t="s">
        <v>186</v>
      </c>
      <c r="D10" s="53" t="s">
        <v>202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203</v>
      </c>
      <c r="K10" s="6">
        <v>43.61</v>
      </c>
      <c r="L10" s="18">
        <v>28</v>
      </c>
      <c r="M10" s="6">
        <f>K10*0.8114</f>
        <v>35.385154</v>
      </c>
      <c r="N10" s="6">
        <v>43.335000000000001</v>
      </c>
      <c r="O10" s="6">
        <f>N10*B18</f>
        <v>38.087131499999998</v>
      </c>
      <c r="P10" s="6">
        <f t="shared" si="1"/>
        <v>1066.4396819999999</v>
      </c>
      <c r="Q10" s="7"/>
      <c r="R10" s="28"/>
      <c r="S10" s="7">
        <f t="shared" si="2"/>
        <v>7.6359071377787371E-2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262.05</v>
      </c>
      <c r="O11" s="6">
        <f>N11*B18</f>
        <v>230.31574500000002</v>
      </c>
      <c r="P11" s="6">
        <f t="shared" si="1"/>
        <v>921.26298000000008</v>
      </c>
      <c r="Q11" s="7"/>
      <c r="R11" s="33"/>
      <c r="S11" s="7">
        <f t="shared" si="2"/>
        <v>-1.6888077356431734E-3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10740.187395999999</v>
      </c>
      <c r="Q12" s="12"/>
      <c r="R12" s="11"/>
      <c r="S12" s="12">
        <f t="shared" si="2"/>
        <v>8.0178328843149294E-2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170</v>
      </c>
      <c r="K14" s="15">
        <v>2089.9699999999998</v>
      </c>
      <c r="L14" s="20"/>
      <c r="M14" s="15"/>
      <c r="N14" s="15">
        <f>'170830_langfr_Geldanlage'!N14</f>
        <v>2157.33</v>
      </c>
      <c r="O14" s="15"/>
      <c r="P14" s="15"/>
      <c r="Q14" s="16"/>
      <c r="R14" s="24" t="s">
        <v>64</v>
      </c>
      <c r="S14" s="16">
        <f>(N14-K14)/K14</f>
        <v>3.2230127705182438E-2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0.87890000000000001</v>
      </c>
    </row>
    <row r="19" spans="1:3">
      <c r="A19" s="35" t="s">
        <v>151</v>
      </c>
      <c r="B19" s="1">
        <f>'170830_langfr_Geldanlage'!B19</f>
        <v>1.1172</v>
      </c>
    </row>
    <row r="20" spans="1:3">
      <c r="A20" s="50" t="s">
        <v>14</v>
      </c>
      <c r="B20" s="35">
        <v>0.64029999999999998</v>
      </c>
    </row>
    <row r="21" spans="1:3">
      <c r="A21" s="35" t="s">
        <v>42</v>
      </c>
      <c r="B21" s="1">
        <f>'170830_langfr_Geldanlage'!B21</f>
        <v>0.66269999999999996</v>
      </c>
    </row>
    <row r="24" spans="1:3">
      <c r="A24" s="50" t="s">
        <v>168</v>
      </c>
      <c r="B24" s="51">
        <f>'170830_langfr_Geldanlage'!B25</f>
        <v>43329</v>
      </c>
      <c r="C24" s="57" t="str">
        <f>'171004_langfr_Geldanlage'!C22</f>
        <v>mittags bzw. Vorabend US-Börse</v>
      </c>
    </row>
    <row r="25" spans="1:3">
      <c r="A25" s="50" t="s">
        <v>169</v>
      </c>
      <c r="B25" s="2">
        <v>0.42</v>
      </c>
    </row>
  </sheetData>
  <phoneticPr fontId="15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3" t="s">
        <v>217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61" t="s">
        <v>176</v>
      </c>
      <c r="B2" s="62" t="s">
        <v>222</v>
      </c>
      <c r="C2" s="61" t="s">
        <v>208</v>
      </c>
      <c r="D2" s="61" t="s">
        <v>210</v>
      </c>
      <c r="E2" s="61" t="s">
        <v>10</v>
      </c>
      <c r="F2" s="61" t="s">
        <v>15</v>
      </c>
      <c r="G2" s="61" t="s">
        <v>16</v>
      </c>
      <c r="H2" s="6">
        <f t="shared" ref="H2:H10" si="0">M2*L2</f>
        <v>1046.6500000000001</v>
      </c>
      <c r="I2" s="7">
        <f>H2/H11</f>
        <v>0.11321168800391755</v>
      </c>
      <c r="J2" s="61" t="s">
        <v>207</v>
      </c>
      <c r="K2" s="6">
        <v>95.15</v>
      </c>
      <c r="L2" s="18">
        <v>11</v>
      </c>
      <c r="M2" s="6">
        <f>K2</f>
        <v>95.15</v>
      </c>
      <c r="N2" s="6">
        <v>95.15</v>
      </c>
      <c r="O2" s="6">
        <f>N2</f>
        <v>95.15</v>
      </c>
      <c r="P2" s="6">
        <f t="shared" ref="P2:P10" si="1">L2*O2</f>
        <v>1046.6500000000001</v>
      </c>
      <c r="Q2" s="7"/>
      <c r="R2" s="26"/>
      <c r="S2" s="7">
        <f t="shared" ref="S2:S11" si="2">(P2-H2)/H2</f>
        <v>0</v>
      </c>
      <c r="T2" s="7"/>
    </row>
    <row r="3" spans="1:20" ht="30">
      <c r="A3" s="61" t="s">
        <v>4</v>
      </c>
      <c r="B3" s="62" t="s">
        <v>226</v>
      </c>
      <c r="C3" s="62" t="s">
        <v>227</v>
      </c>
      <c r="D3" s="61" t="s">
        <v>228</v>
      </c>
      <c r="E3" s="61" t="s">
        <v>20</v>
      </c>
      <c r="F3" s="61" t="s">
        <v>21</v>
      </c>
      <c r="G3" s="61" t="s">
        <v>22</v>
      </c>
      <c r="H3" s="6">
        <f t="shared" si="0"/>
        <v>1011.1920280000001</v>
      </c>
      <c r="I3" s="7"/>
      <c r="J3" s="61" t="s">
        <v>229</v>
      </c>
      <c r="K3" s="6">
        <v>41.09</v>
      </c>
      <c r="L3" s="18">
        <v>28</v>
      </c>
      <c r="M3" s="6">
        <f>K3*0.8789</f>
        <v>36.114001000000002</v>
      </c>
      <c r="N3" s="6">
        <v>41.09</v>
      </c>
      <c r="O3" s="6">
        <f>N3*B17</f>
        <v>36.114001000000002</v>
      </c>
      <c r="P3" s="6">
        <f t="shared" si="1"/>
        <v>1011.1920280000001</v>
      </c>
      <c r="Q3" s="7"/>
      <c r="R3" s="28"/>
      <c r="S3" s="7">
        <f t="shared" si="2"/>
        <v>0</v>
      </c>
      <c r="T3" s="7"/>
    </row>
    <row r="4" spans="1:20">
      <c r="A4" s="61" t="s">
        <v>4</v>
      </c>
      <c r="B4" s="61" t="s">
        <v>230</v>
      </c>
      <c r="C4" s="61" t="s">
        <v>231</v>
      </c>
      <c r="D4" s="61" t="s">
        <v>232</v>
      </c>
      <c r="E4" s="61" t="s">
        <v>10</v>
      </c>
      <c r="F4" s="61" t="s">
        <v>89</v>
      </c>
      <c r="G4" s="61" t="s">
        <v>90</v>
      </c>
      <c r="H4" s="6">
        <f t="shared" si="0"/>
        <v>994.99572000000012</v>
      </c>
      <c r="I4" s="7">
        <f>(H3+H4)/H11</f>
        <v>0.21700081345612954</v>
      </c>
      <c r="J4" s="61" t="s">
        <v>243</v>
      </c>
      <c r="K4" s="6">
        <v>66.45</v>
      </c>
      <c r="L4" s="18">
        <v>17</v>
      </c>
      <c r="M4" s="6">
        <f>K4*0.8808</f>
        <v>58.529160000000005</v>
      </c>
      <c r="N4" s="6">
        <v>66.45</v>
      </c>
      <c r="O4" s="6">
        <f>N4*B19</f>
        <v>58.529160000000005</v>
      </c>
      <c r="P4" s="6">
        <f t="shared" si="1"/>
        <v>994.99572000000012</v>
      </c>
      <c r="Q4" s="7"/>
      <c r="R4" s="33"/>
      <c r="S4" s="7">
        <f t="shared" si="2"/>
        <v>0</v>
      </c>
      <c r="T4" s="7"/>
    </row>
    <row r="5" spans="1:20">
      <c r="A5" s="61" t="s">
        <v>158</v>
      </c>
      <c r="B5" s="61" t="s">
        <v>234</v>
      </c>
      <c r="C5" s="61" t="s">
        <v>233</v>
      </c>
      <c r="D5" s="61" t="s">
        <v>235</v>
      </c>
      <c r="E5" s="61" t="s">
        <v>20</v>
      </c>
      <c r="F5" s="61" t="s">
        <v>21</v>
      </c>
      <c r="G5" s="61" t="s">
        <v>22</v>
      </c>
      <c r="H5" s="6">
        <f t="shared" si="0"/>
        <v>1017.9771360000001</v>
      </c>
      <c r="I5" s="7">
        <f>H5/H11</f>
        <v>0.11011026600673916</v>
      </c>
      <c r="J5" s="61" t="s">
        <v>236</v>
      </c>
      <c r="K5" s="6">
        <v>60.96</v>
      </c>
      <c r="L5" s="18">
        <v>19</v>
      </c>
      <c r="M5" s="6">
        <f>K5*0.8789</f>
        <v>53.577744000000003</v>
      </c>
      <c r="N5" s="6">
        <v>60.96</v>
      </c>
      <c r="O5" s="6">
        <f>N5*B17</f>
        <v>53.577744000000003</v>
      </c>
      <c r="P5" s="6">
        <f t="shared" si="1"/>
        <v>1017.9771360000001</v>
      </c>
      <c r="Q5" s="7"/>
      <c r="R5" s="22"/>
      <c r="S5" s="7">
        <f t="shared" si="2"/>
        <v>0</v>
      </c>
      <c r="T5" s="7"/>
    </row>
    <row r="6" spans="1:20">
      <c r="A6" s="61" t="s">
        <v>214</v>
      </c>
      <c r="B6" s="61" t="s">
        <v>220</v>
      </c>
      <c r="C6" s="61" t="s">
        <v>215</v>
      </c>
      <c r="D6" s="61" t="s">
        <v>216</v>
      </c>
      <c r="E6" s="61" t="s">
        <v>29</v>
      </c>
      <c r="F6" s="61" t="s">
        <v>108</v>
      </c>
      <c r="G6" s="61" t="s">
        <v>22</v>
      </c>
      <c r="H6" s="6">
        <f t="shared" si="0"/>
        <v>1058.1340770000002</v>
      </c>
      <c r="I6" s="7">
        <f>H6/H11</f>
        <v>0.11445387186895073</v>
      </c>
      <c r="J6" s="61" t="s">
        <v>218</v>
      </c>
      <c r="K6" s="6">
        <v>171.99</v>
      </c>
      <c r="L6" s="18">
        <v>7</v>
      </c>
      <c r="M6" s="6">
        <f>K6*0.8789</f>
        <v>151.16201100000001</v>
      </c>
      <c r="N6" s="6">
        <v>171.99</v>
      </c>
      <c r="O6" s="6">
        <f>N6*B17</f>
        <v>151.16201100000001</v>
      </c>
      <c r="P6" s="6">
        <f t="shared" si="1"/>
        <v>1058.1340770000002</v>
      </c>
      <c r="Q6" s="7"/>
      <c r="R6" s="28"/>
      <c r="S6" s="7">
        <f t="shared" si="2"/>
        <v>0</v>
      </c>
      <c r="T6" s="7"/>
    </row>
    <row r="7" spans="1:20" ht="30">
      <c r="A7" s="61" t="s">
        <v>26</v>
      </c>
      <c r="B7" s="62" t="s">
        <v>221</v>
      </c>
      <c r="C7" s="61" t="s">
        <v>211</v>
      </c>
      <c r="D7" s="61" t="s">
        <v>212</v>
      </c>
      <c r="E7" s="61" t="s">
        <v>20</v>
      </c>
      <c r="F7" s="61" t="s">
        <v>21</v>
      </c>
      <c r="G7" s="61" t="s">
        <v>22</v>
      </c>
      <c r="H7" s="6">
        <f t="shared" si="0"/>
        <v>1071.2912100000001</v>
      </c>
      <c r="I7" s="7"/>
      <c r="J7" s="61" t="s">
        <v>213</v>
      </c>
      <c r="K7" s="6">
        <v>203.15</v>
      </c>
      <c r="L7" s="18">
        <v>6</v>
      </c>
      <c r="M7" s="6">
        <f>K7*0.8789</f>
        <v>178.54853500000002</v>
      </c>
      <c r="N7" s="6">
        <v>203.15</v>
      </c>
      <c r="O7" s="6">
        <f>N7*B17</f>
        <v>178.54853500000002</v>
      </c>
      <c r="P7" s="6">
        <f t="shared" si="1"/>
        <v>1071.2912100000001</v>
      </c>
      <c r="Q7" s="7"/>
      <c r="R7" s="33"/>
      <c r="S7" s="7">
        <f t="shared" si="2"/>
        <v>0</v>
      </c>
      <c r="T7" s="7"/>
    </row>
    <row r="8" spans="1:20" ht="30">
      <c r="A8" s="61" t="s">
        <v>26</v>
      </c>
      <c r="B8" s="62" t="s">
        <v>237</v>
      </c>
      <c r="C8" s="61" t="s">
        <v>238</v>
      </c>
      <c r="D8" s="61" t="s">
        <v>239</v>
      </c>
      <c r="E8" s="61" t="s">
        <v>10</v>
      </c>
      <c r="F8" s="61" t="s">
        <v>49</v>
      </c>
      <c r="G8" s="61" t="s">
        <v>50</v>
      </c>
      <c r="H8" s="6">
        <f t="shared" si="0"/>
        <v>1007.8210499999999</v>
      </c>
      <c r="I8" s="7">
        <f>(H7+H8)/H11</f>
        <v>0.22488874839176409</v>
      </c>
      <c r="J8" s="61" t="s">
        <v>240</v>
      </c>
      <c r="K8" s="6">
        <v>181.95</v>
      </c>
      <c r="L8" s="18">
        <v>58</v>
      </c>
      <c r="M8" s="6">
        <f>K8*0.0955</f>
        <v>17.376224999999998</v>
      </c>
      <c r="N8" s="6">
        <v>181.95</v>
      </c>
      <c r="O8" s="6">
        <f>N8*B20</f>
        <v>17.376224999999998</v>
      </c>
      <c r="P8" s="6">
        <f t="shared" si="1"/>
        <v>1007.8210499999999</v>
      </c>
      <c r="Q8" s="7"/>
      <c r="R8" s="33"/>
      <c r="S8" s="7">
        <f t="shared" si="2"/>
        <v>0</v>
      </c>
      <c r="T8" s="7"/>
    </row>
    <row r="9" spans="1:20" ht="30">
      <c r="A9" s="61" t="s">
        <v>38</v>
      </c>
      <c r="B9" s="62" t="s">
        <v>219</v>
      </c>
      <c r="C9" s="61" t="s">
        <v>223</v>
      </c>
      <c r="D9" s="61" t="s">
        <v>224</v>
      </c>
      <c r="E9" s="61" t="s">
        <v>29</v>
      </c>
      <c r="F9" s="61" t="s">
        <v>108</v>
      </c>
      <c r="G9" s="61" t="s">
        <v>22</v>
      </c>
      <c r="H9" s="6">
        <f t="shared" si="0"/>
        <v>1010.9107800000002</v>
      </c>
      <c r="I9" s="7"/>
      <c r="J9" s="61" t="s">
        <v>225</v>
      </c>
      <c r="K9" s="6">
        <v>42.6</v>
      </c>
      <c r="L9" s="18">
        <v>27</v>
      </c>
      <c r="M9" s="6">
        <f>K9*0.8789</f>
        <v>37.441140000000004</v>
      </c>
      <c r="N9" s="6">
        <v>42.6</v>
      </c>
      <c r="O9" s="6">
        <f>N9*B17</f>
        <v>37.441140000000004</v>
      </c>
      <c r="P9" s="6">
        <f t="shared" si="1"/>
        <v>1010.9107800000002</v>
      </c>
      <c r="Q9" s="7"/>
      <c r="R9" s="28"/>
      <c r="S9" s="7">
        <f t="shared" si="2"/>
        <v>0</v>
      </c>
      <c r="T9" s="7"/>
    </row>
    <row r="10" spans="1:20" ht="30">
      <c r="A10" s="61" t="s">
        <v>38</v>
      </c>
      <c r="B10" s="62" t="s">
        <v>206</v>
      </c>
      <c r="C10" s="61" t="s">
        <v>205</v>
      </c>
      <c r="D10" s="61" t="s">
        <v>209</v>
      </c>
      <c r="E10" s="61" t="s">
        <v>20</v>
      </c>
      <c r="F10" s="61" t="s">
        <v>21</v>
      </c>
      <c r="G10" s="61" t="s">
        <v>22</v>
      </c>
      <c r="H10" s="6">
        <f t="shared" si="0"/>
        <v>1026.098172</v>
      </c>
      <c r="I10" s="7">
        <f>(H9+H10)/H11</f>
        <v>0.22033461227249898</v>
      </c>
      <c r="J10" s="61" t="s">
        <v>207</v>
      </c>
      <c r="K10" s="6">
        <v>64.86</v>
      </c>
      <c r="L10" s="18">
        <v>18</v>
      </c>
      <c r="M10" s="6">
        <f>K10*0.8789</f>
        <v>57.005454</v>
      </c>
      <c r="N10" s="6">
        <v>64.86</v>
      </c>
      <c r="O10" s="6">
        <f>N10*B17</f>
        <v>57.005454</v>
      </c>
      <c r="P10" s="6">
        <f t="shared" si="1"/>
        <v>1026.098172</v>
      </c>
      <c r="Q10" s="7"/>
      <c r="R10" s="33"/>
      <c r="S10" s="7">
        <f t="shared" si="2"/>
        <v>0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9245.0701730000001</v>
      </c>
      <c r="Q11" s="12"/>
      <c r="R11" s="11"/>
      <c r="S11" s="12">
        <f t="shared" si="2"/>
        <v>0</v>
      </c>
      <c r="T11" s="12"/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0" t="s">
        <v>242</v>
      </c>
      <c r="K13" s="15">
        <v>2131.0500000000002</v>
      </c>
      <c r="L13" s="20"/>
      <c r="M13" s="15"/>
      <c r="N13" s="15">
        <v>2131.0500000000002</v>
      </c>
      <c r="O13" s="15"/>
      <c r="P13" s="15"/>
      <c r="Q13" s="16"/>
      <c r="R13" s="24" t="s">
        <v>64</v>
      </c>
      <c r="S13" s="16">
        <f>(N13-K13)/K13</f>
        <v>0</v>
      </c>
      <c r="T13" s="16"/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0.87890000000000001</v>
      </c>
    </row>
    <row r="18" spans="1:3">
      <c r="A18" s="35" t="s">
        <v>151</v>
      </c>
      <c r="B18" s="1">
        <f>'170830_langfr_Geldanlage'!B19</f>
        <v>1.1172</v>
      </c>
    </row>
    <row r="19" spans="1:3">
      <c r="A19" s="64" t="s">
        <v>90</v>
      </c>
      <c r="B19" s="35">
        <f>'171004_langfr_Geldanlage'!B18</f>
        <v>0.88080000000000003</v>
      </c>
    </row>
    <row r="20" spans="1:3">
      <c r="A20" s="64" t="s">
        <v>50</v>
      </c>
      <c r="B20" s="1">
        <v>9.5500000000000002E-2</v>
      </c>
    </row>
    <row r="23" spans="1:3">
      <c r="A23" s="50" t="s">
        <v>168</v>
      </c>
      <c r="B23" s="51">
        <f>'170830_langfr_Geldanlage'!B25</f>
        <v>43329</v>
      </c>
      <c r="C23" s="57" t="str">
        <f>'171004_langfr_Geldanlage'!C22</f>
        <v>mittags bzw. Vorabend US-Börse</v>
      </c>
    </row>
    <row r="24" spans="1:3">
      <c r="A24" s="50" t="s">
        <v>169</v>
      </c>
      <c r="B24" s="2">
        <v>0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171004_Turnaroundwerte</vt:lpstr>
      <vt:lpstr>171213_2018_Empfehlungsliste</vt:lpstr>
      <vt:lpstr>180302_langfr_Geldanlage</vt:lpstr>
      <vt:lpstr>180817_langfr_Geldanlage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2018-08-17T11:14:00Z</dcterms:modified>
</cp:coreProperties>
</file>