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004"/>
  <workbookPr autoCompressPictures="0"/>
  <bookViews>
    <workbookView xWindow="0" yWindow="0" windowWidth="51060" windowHeight="28060" activeTab="7"/>
  </bookViews>
  <sheets>
    <sheet name="170830_langfr_Geldanlage" sheetId="1" r:id="rId1"/>
    <sheet name="171004_langfr_Geldanlage" sheetId="2" r:id="rId2"/>
    <sheet name="171004_Turnaroundwerte" sheetId="3" r:id="rId3"/>
    <sheet name="171213_2018_Empfehlungsliste" sheetId="5" r:id="rId4"/>
    <sheet name="180302_langfr_Geldanlage" sheetId="6" r:id="rId5"/>
    <sheet name="180817_langfr_Geldanlage" sheetId="7" r:id="rId6"/>
    <sheet name="181120_langfr_Geldanlage" sheetId="9" r:id="rId7"/>
    <sheet name="181212_2019_Empfehlungsliste" sheetId="10" r:id="rId8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0" l="1"/>
  <c r="O4" i="10"/>
  <c r="M4" i="10"/>
  <c r="O3" i="10"/>
  <c r="M3" i="10"/>
  <c r="O2" i="10"/>
  <c r="M2" i="10"/>
  <c r="N13" i="9"/>
  <c r="H2" i="10"/>
  <c r="H3" i="10"/>
  <c r="H4" i="10"/>
  <c r="H5" i="10"/>
  <c r="H6" i="10"/>
  <c r="I2" i="10"/>
  <c r="I3" i="10"/>
  <c r="C14" i="10"/>
  <c r="B14" i="10"/>
  <c r="B12" i="10"/>
  <c r="B11" i="10"/>
  <c r="N8" i="10"/>
  <c r="S8" i="10"/>
  <c r="P2" i="10"/>
  <c r="P3" i="10"/>
  <c r="P4" i="10"/>
  <c r="O5" i="10"/>
  <c r="P5" i="10"/>
  <c r="P6" i="10"/>
  <c r="S6" i="10"/>
  <c r="Q3" i="10"/>
  <c r="Q4" i="10"/>
  <c r="Q5" i="10"/>
  <c r="Q6" i="10"/>
  <c r="I4" i="10"/>
  <c r="I5" i="10"/>
  <c r="I6" i="10"/>
  <c r="S5" i="10"/>
  <c r="S4" i="10"/>
  <c r="S3" i="10"/>
  <c r="S2" i="10"/>
  <c r="M10" i="9"/>
  <c r="M9" i="9"/>
  <c r="M8" i="9"/>
  <c r="M5" i="9"/>
  <c r="M4" i="9"/>
  <c r="M2" i="9"/>
  <c r="H2" i="9"/>
  <c r="H10" i="9"/>
  <c r="H4" i="9"/>
  <c r="M7" i="9"/>
  <c r="H7" i="9"/>
  <c r="H8" i="9"/>
  <c r="H9" i="9"/>
  <c r="H5" i="9"/>
  <c r="H11" i="9"/>
  <c r="I10" i="9"/>
  <c r="O6" i="9"/>
  <c r="M6" i="9"/>
  <c r="O3" i="9"/>
  <c r="M3" i="9"/>
  <c r="H3" i="9"/>
  <c r="H6" i="9"/>
  <c r="I3" i="9"/>
  <c r="I9" i="9"/>
  <c r="B18" i="9"/>
  <c r="O4" i="9"/>
  <c r="I4" i="9"/>
  <c r="O7" i="9"/>
  <c r="B19" i="9"/>
  <c r="O8" i="9"/>
  <c r="B23" i="9"/>
  <c r="B20" i="9"/>
  <c r="B17" i="9"/>
  <c r="S13" i="9"/>
  <c r="O2" i="9"/>
  <c r="P2" i="9"/>
  <c r="P3" i="9"/>
  <c r="P4" i="9"/>
  <c r="O5" i="9"/>
  <c r="P5" i="9"/>
  <c r="P6" i="9"/>
  <c r="P7" i="9"/>
  <c r="P8" i="9"/>
  <c r="O9" i="9"/>
  <c r="P9" i="9"/>
  <c r="O10" i="9"/>
  <c r="P10" i="9"/>
  <c r="P11" i="9"/>
  <c r="S11" i="9"/>
  <c r="I5" i="9"/>
  <c r="I6" i="9"/>
  <c r="I8" i="9"/>
  <c r="I11" i="9"/>
  <c r="S10" i="9"/>
  <c r="S9" i="9"/>
  <c r="S8" i="9"/>
  <c r="S7" i="9"/>
  <c r="S6" i="9"/>
  <c r="S5" i="9"/>
  <c r="S4" i="9"/>
  <c r="S3" i="9"/>
  <c r="S2" i="9"/>
  <c r="B20" i="7"/>
  <c r="N13" i="7"/>
  <c r="I10" i="7"/>
  <c r="I8" i="7"/>
  <c r="I6" i="7"/>
  <c r="I5" i="7"/>
  <c r="I4" i="7"/>
  <c r="I2" i="7"/>
  <c r="O8" i="7"/>
  <c r="M8" i="7"/>
  <c r="B19" i="7"/>
  <c r="M5" i="7"/>
  <c r="O4" i="7"/>
  <c r="M4" i="7"/>
  <c r="B17" i="7"/>
  <c r="O3" i="7"/>
  <c r="M3" i="7"/>
  <c r="M9" i="7"/>
  <c r="O6" i="7"/>
  <c r="M6" i="7"/>
  <c r="O7" i="7"/>
  <c r="M7" i="7"/>
  <c r="M10" i="7"/>
  <c r="C22" i="2"/>
  <c r="C23" i="7"/>
  <c r="B23" i="7"/>
  <c r="B18" i="7"/>
  <c r="S13" i="7"/>
  <c r="O2" i="7"/>
  <c r="P2" i="7"/>
  <c r="P3" i="7"/>
  <c r="P4" i="7"/>
  <c r="O5" i="7"/>
  <c r="P5" i="7"/>
  <c r="P6" i="7"/>
  <c r="P7" i="7"/>
  <c r="P8" i="7"/>
  <c r="O9" i="7"/>
  <c r="P9" i="7"/>
  <c r="O10" i="7"/>
  <c r="P10" i="7"/>
  <c r="P11" i="7"/>
  <c r="M2" i="7"/>
  <c r="H2" i="7"/>
  <c r="H3" i="7"/>
  <c r="H4" i="7"/>
  <c r="H5" i="7"/>
  <c r="H6" i="7"/>
  <c r="H7" i="7"/>
  <c r="H8" i="7"/>
  <c r="H9" i="7"/>
  <c r="H10" i="7"/>
  <c r="H11" i="7"/>
  <c r="S11" i="7"/>
  <c r="I11" i="7"/>
  <c r="S10" i="7"/>
  <c r="S9" i="7"/>
  <c r="S8" i="7"/>
  <c r="S7" i="7"/>
  <c r="S6" i="7"/>
  <c r="S5" i="7"/>
  <c r="S4" i="7"/>
  <c r="S3" i="7"/>
  <c r="S2" i="7"/>
  <c r="C24" i="6"/>
  <c r="C14" i="5"/>
  <c r="B22" i="3"/>
  <c r="B21" i="6"/>
  <c r="B19" i="6"/>
  <c r="B18" i="6"/>
  <c r="B24" i="6"/>
  <c r="B14" i="5"/>
  <c r="B21" i="3"/>
  <c r="B22" i="2"/>
  <c r="N14" i="6"/>
  <c r="M11" i="6"/>
  <c r="M10" i="6"/>
  <c r="M8" i="6"/>
  <c r="M6" i="6"/>
  <c r="M2" i="6"/>
  <c r="H11" i="6"/>
  <c r="O11" i="6"/>
  <c r="H10" i="6"/>
  <c r="O9" i="6"/>
  <c r="M9" i="6"/>
  <c r="H9" i="6"/>
  <c r="T12" i="1"/>
  <c r="M7" i="6"/>
  <c r="O8" i="6"/>
  <c r="H8" i="6"/>
  <c r="H2" i="1"/>
  <c r="H3" i="1"/>
  <c r="M4" i="1"/>
  <c r="H4" i="1"/>
  <c r="H5" i="1"/>
  <c r="H6" i="1"/>
  <c r="H7" i="1"/>
  <c r="H8" i="1"/>
  <c r="H9" i="1"/>
  <c r="H10" i="1"/>
  <c r="H11" i="1"/>
  <c r="H12" i="1"/>
  <c r="O7" i="6"/>
  <c r="H7" i="6"/>
  <c r="O6" i="6"/>
  <c r="H6" i="6"/>
  <c r="O5" i="6"/>
  <c r="M5" i="6"/>
  <c r="M4" i="6"/>
  <c r="M3" i="6"/>
  <c r="H5" i="6"/>
  <c r="H4" i="6"/>
  <c r="H3" i="6"/>
  <c r="H2" i="6"/>
  <c r="O2" i="6"/>
  <c r="S14" i="6"/>
  <c r="P2" i="6"/>
  <c r="O3" i="6"/>
  <c r="P3" i="6"/>
  <c r="O4" i="6"/>
  <c r="P4" i="6"/>
  <c r="P5" i="6"/>
  <c r="P6" i="6"/>
  <c r="P7" i="6"/>
  <c r="P8" i="6"/>
  <c r="P9" i="6"/>
  <c r="O10" i="6"/>
  <c r="P10" i="6"/>
  <c r="P11" i="6"/>
  <c r="P12" i="6"/>
  <c r="H12" i="6"/>
  <c r="S12" i="6"/>
  <c r="I12" i="6"/>
  <c r="S11" i="6"/>
  <c r="S10" i="6"/>
  <c r="S9" i="6"/>
  <c r="S8" i="6"/>
  <c r="S7" i="6"/>
  <c r="S6" i="6"/>
  <c r="S5" i="6"/>
  <c r="S4" i="6"/>
  <c r="S3" i="6"/>
  <c r="S2" i="6"/>
  <c r="N8" i="5"/>
  <c r="N13" i="3"/>
  <c r="N14" i="2"/>
  <c r="B12" i="5"/>
  <c r="B11" i="5"/>
  <c r="B19" i="3"/>
  <c r="B17" i="2"/>
  <c r="B18" i="3"/>
  <c r="M5" i="5"/>
  <c r="M4" i="5"/>
  <c r="M3" i="5"/>
  <c r="M2" i="5"/>
  <c r="O5" i="5"/>
  <c r="P5" i="5"/>
  <c r="O3" i="5"/>
  <c r="P3" i="5"/>
  <c r="O4" i="5"/>
  <c r="P4" i="5"/>
  <c r="O2" i="5"/>
  <c r="P2" i="5"/>
  <c r="P6" i="5"/>
  <c r="Q5" i="5"/>
  <c r="Q4" i="5"/>
  <c r="H5" i="5"/>
  <c r="H2" i="5"/>
  <c r="H3" i="5"/>
  <c r="H4" i="5"/>
  <c r="H6" i="5"/>
  <c r="I5" i="5"/>
  <c r="I4" i="5"/>
  <c r="S8" i="5"/>
  <c r="S6" i="5"/>
  <c r="Q3" i="5"/>
  <c r="Q6" i="5"/>
  <c r="I3" i="5"/>
  <c r="I6" i="5"/>
  <c r="S5" i="5"/>
  <c r="S4" i="5"/>
  <c r="S3" i="5"/>
  <c r="S2" i="5"/>
  <c r="O8" i="3"/>
  <c r="O7" i="1"/>
  <c r="P7" i="1"/>
  <c r="O8" i="1"/>
  <c r="P8" i="1"/>
  <c r="O9" i="1"/>
  <c r="P9" i="1"/>
  <c r="O10" i="1"/>
  <c r="P10" i="1"/>
  <c r="O5" i="1"/>
  <c r="P5" i="1"/>
  <c r="O6" i="1"/>
  <c r="P6" i="1"/>
  <c r="O11" i="1"/>
  <c r="P11" i="1"/>
  <c r="O2" i="1"/>
  <c r="P2" i="1"/>
  <c r="O3" i="1"/>
  <c r="P3" i="1"/>
  <c r="O4" i="1"/>
  <c r="P4" i="1"/>
  <c r="P12" i="1"/>
  <c r="R12" i="1"/>
  <c r="S13" i="3"/>
  <c r="O2" i="3"/>
  <c r="P2" i="3"/>
  <c r="O3" i="3"/>
  <c r="P3" i="3"/>
  <c r="O4" i="3"/>
  <c r="P4" i="3"/>
  <c r="O5" i="3"/>
  <c r="P5" i="3"/>
  <c r="O6" i="3"/>
  <c r="P6" i="3"/>
  <c r="O7" i="3"/>
  <c r="P7" i="3"/>
  <c r="P8" i="3"/>
  <c r="O9" i="3"/>
  <c r="P9" i="3"/>
  <c r="O10" i="3"/>
  <c r="P10" i="3"/>
  <c r="P11" i="3"/>
  <c r="M2" i="3"/>
  <c r="H2" i="3"/>
  <c r="M3" i="3"/>
  <c r="H3" i="3"/>
  <c r="M4" i="3"/>
  <c r="H4" i="3"/>
  <c r="M5" i="3"/>
  <c r="H5" i="3"/>
  <c r="M6" i="3"/>
  <c r="H6" i="3"/>
  <c r="M7" i="3"/>
  <c r="H7" i="3"/>
  <c r="M8" i="3"/>
  <c r="H8" i="3"/>
  <c r="M9" i="3"/>
  <c r="H9" i="3"/>
  <c r="M10" i="3"/>
  <c r="H10" i="3"/>
  <c r="H11" i="3"/>
  <c r="S11" i="3"/>
  <c r="Q3" i="3"/>
  <c r="Q5" i="3"/>
  <c r="Q7" i="3"/>
  <c r="Q8" i="3"/>
  <c r="Q9" i="3"/>
  <c r="Q10" i="3"/>
  <c r="Q11" i="3"/>
  <c r="I3" i="3"/>
  <c r="I5" i="3"/>
  <c r="I7" i="3"/>
  <c r="I8" i="3"/>
  <c r="I9" i="3"/>
  <c r="I10" i="3"/>
  <c r="I11" i="3"/>
  <c r="S10" i="3"/>
  <c r="S9" i="3"/>
  <c r="S8" i="3"/>
  <c r="S7" i="3"/>
  <c r="S6" i="3"/>
  <c r="S5" i="3"/>
  <c r="S4" i="3"/>
  <c r="S3" i="3"/>
  <c r="S2" i="3"/>
  <c r="S14" i="2"/>
  <c r="O2" i="2"/>
  <c r="P2" i="2"/>
  <c r="O3" i="2"/>
  <c r="P3" i="2"/>
  <c r="O4" i="2"/>
  <c r="P4" i="2"/>
  <c r="O5" i="2"/>
  <c r="P5" i="2"/>
  <c r="O6" i="2"/>
  <c r="P6" i="2"/>
  <c r="O7" i="2"/>
  <c r="P7" i="2"/>
  <c r="O8" i="2"/>
  <c r="P8" i="2"/>
  <c r="O9" i="2"/>
  <c r="P9" i="2"/>
  <c r="O10" i="2"/>
  <c r="P10" i="2"/>
  <c r="O11" i="2"/>
  <c r="P11" i="2"/>
  <c r="P12" i="2"/>
  <c r="M2" i="2"/>
  <c r="H2" i="2"/>
  <c r="M3" i="2"/>
  <c r="H3" i="2"/>
  <c r="M4" i="2"/>
  <c r="H4" i="2"/>
  <c r="M5" i="2"/>
  <c r="H5" i="2"/>
  <c r="M6" i="2"/>
  <c r="H6" i="2"/>
  <c r="M7" i="2"/>
  <c r="H7" i="2"/>
  <c r="M8" i="2"/>
  <c r="H8" i="2"/>
  <c r="M9" i="2"/>
  <c r="H9" i="2"/>
  <c r="M10" i="2"/>
  <c r="H10" i="2"/>
  <c r="M11" i="2"/>
  <c r="H11" i="2"/>
  <c r="H12" i="2"/>
  <c r="S12" i="2"/>
  <c r="Q3" i="2"/>
  <c r="Q6" i="2"/>
  <c r="Q8" i="2"/>
  <c r="Q9" i="2"/>
  <c r="Q10" i="2"/>
  <c r="Q11" i="2"/>
  <c r="Q12" i="2"/>
  <c r="I3" i="2"/>
  <c r="I6" i="2"/>
  <c r="I8" i="2"/>
  <c r="I9" i="2"/>
  <c r="I10" i="2"/>
  <c r="I11" i="2"/>
  <c r="I12" i="2"/>
  <c r="S11" i="2"/>
  <c r="S10" i="2"/>
  <c r="S9" i="2"/>
  <c r="S8" i="2"/>
  <c r="S7" i="2"/>
  <c r="S6" i="2"/>
  <c r="S5" i="2"/>
  <c r="S4" i="2"/>
  <c r="S3" i="2"/>
  <c r="S2" i="2"/>
  <c r="R3" i="1"/>
  <c r="R4" i="1"/>
  <c r="R5" i="1"/>
  <c r="R6" i="1"/>
  <c r="R7" i="1"/>
  <c r="R8" i="1"/>
  <c r="R9" i="1"/>
  <c r="R10" i="1"/>
  <c r="R11" i="1"/>
  <c r="R2" i="1"/>
  <c r="R14" i="1"/>
  <c r="Q3" i="1"/>
  <c r="I3" i="1"/>
  <c r="Q5" i="1"/>
  <c r="I5" i="1"/>
  <c r="Q7" i="1"/>
  <c r="I7" i="1"/>
  <c r="Q9" i="1"/>
  <c r="I9" i="1"/>
  <c r="I10" i="1"/>
  <c r="Q10" i="1"/>
  <c r="Q11" i="1"/>
  <c r="I11" i="1"/>
  <c r="I12" i="1"/>
</calcChain>
</file>

<file path=xl/sharedStrings.xml><?xml version="1.0" encoding="utf-8"?>
<sst xmlns="http://schemas.openxmlformats.org/spreadsheetml/2006/main" count="758" uniqueCount="294">
  <si>
    <t>Branche</t>
  </si>
  <si>
    <t>Unternehmen</t>
  </si>
  <si>
    <t>Branche Detail</t>
  </si>
  <si>
    <t>Anteil in %</t>
  </si>
  <si>
    <t>Gesundheit</t>
  </si>
  <si>
    <t>Dienstleister Klinikbetreiber</t>
  </si>
  <si>
    <t>Ramsay Health Care</t>
  </si>
  <si>
    <t>Australien</t>
  </si>
  <si>
    <t>Chemie Duft- und Geschmacksstoffe</t>
  </si>
  <si>
    <t>Symrise</t>
  </si>
  <si>
    <t>Europa</t>
  </si>
  <si>
    <t>Kontinent</t>
  </si>
  <si>
    <t>Land</t>
  </si>
  <si>
    <t>Währung</t>
  </si>
  <si>
    <t>AU$</t>
  </si>
  <si>
    <t>Deutschland</t>
  </si>
  <si>
    <t>€</t>
  </si>
  <si>
    <t>Konsum nicht zyklisch</t>
  </si>
  <si>
    <t>Drogerie Reinigung Hygiene industriell</t>
  </si>
  <si>
    <t>Ecolab</t>
  </si>
  <si>
    <t>Amerika</t>
  </si>
  <si>
    <t>USA</t>
  </si>
  <si>
    <t>US$</t>
  </si>
  <si>
    <t>Bekleidung Sport</t>
  </si>
  <si>
    <t>Nike</t>
  </si>
  <si>
    <t>Grundnahrungsmittel</t>
  </si>
  <si>
    <t>Industrie</t>
  </si>
  <si>
    <t xml:space="preserve">Zulieferer Verkehr </t>
  </si>
  <si>
    <t>Shimano</t>
  </si>
  <si>
    <t>Asien</t>
  </si>
  <si>
    <t>Japan</t>
  </si>
  <si>
    <t>Yen</t>
  </si>
  <si>
    <t>Zulieferer Verpackungen</t>
  </si>
  <si>
    <t>Bunzl</t>
  </si>
  <si>
    <t>England</t>
  </si>
  <si>
    <t>Pfund</t>
  </si>
  <si>
    <t>Tabak</t>
  </si>
  <si>
    <t>Altria</t>
  </si>
  <si>
    <t>Technologie</t>
  </si>
  <si>
    <t>IT-Denstleister</t>
  </si>
  <si>
    <t>CGI</t>
  </si>
  <si>
    <t>Kanada</t>
  </si>
  <si>
    <t>CA$</t>
  </si>
  <si>
    <t>Hardware Halbleiter</t>
  </si>
  <si>
    <t>Taiwan Semiconductor</t>
  </si>
  <si>
    <t>Taiwan</t>
  </si>
  <si>
    <t>Sonstige</t>
  </si>
  <si>
    <t>Dienstleister Outsourcing Inkasso</t>
  </si>
  <si>
    <t>Intrum Justitia</t>
  </si>
  <si>
    <t>Schweden</t>
  </si>
  <si>
    <t>SEK</t>
  </si>
  <si>
    <t>Trend</t>
  </si>
  <si>
    <t>200 T. unterschritten</t>
  </si>
  <si>
    <t>abwärts stark</t>
  </si>
  <si>
    <t xml:space="preserve">abwärts leicht </t>
  </si>
  <si>
    <t>Kurs €</t>
  </si>
  <si>
    <t>WKN</t>
  </si>
  <si>
    <t>A0ET3E GB</t>
  </si>
  <si>
    <t>874338 AU</t>
  </si>
  <si>
    <t>SYM999 DE</t>
  </si>
  <si>
    <t>abwärts mittel</t>
  </si>
  <si>
    <t>865682 JP</t>
  </si>
  <si>
    <t>912483 CA</t>
  </si>
  <si>
    <t>909800 TW</t>
  </si>
  <si>
    <t>ATH</t>
  </si>
  <si>
    <t>854545 US</t>
  </si>
  <si>
    <t>aufwärts leicht</t>
  </si>
  <si>
    <t>866993 US</t>
  </si>
  <si>
    <t>200417 US</t>
  </si>
  <si>
    <t>633824 SE</t>
  </si>
  <si>
    <t>Performance in €</t>
  </si>
  <si>
    <t>Kurs Heimat-währung</t>
  </si>
  <si>
    <t>MSCI World Index</t>
  </si>
  <si>
    <t>Menge</t>
  </si>
  <si>
    <t>Performance effektiv p.a.</t>
  </si>
  <si>
    <t>aufwärts mittel</t>
  </si>
  <si>
    <t>knapp unter ATH</t>
  </si>
  <si>
    <r>
      <t>Wert</t>
    </r>
    <r>
      <rPr>
        <sz val="12"/>
        <color theme="1"/>
        <rFont val="Calibri"/>
        <family val="2"/>
        <charset val="204"/>
        <scheme val="minor"/>
      </rPr>
      <t xml:space="preserve"> 30.08.2017</t>
    </r>
  </si>
  <si>
    <r>
      <t>Wert</t>
    </r>
    <r>
      <rPr>
        <sz val="12"/>
        <color theme="1"/>
        <rFont val="Calibri"/>
        <family val="2"/>
        <charset val="204"/>
        <scheme val="minor"/>
      </rPr>
      <t xml:space="preserve"> 04.10.2017</t>
    </r>
  </si>
  <si>
    <t>Medizintechnik Bedarfsartikel</t>
  </si>
  <si>
    <t>Coloplast</t>
  </si>
  <si>
    <t>A1KAGC DK</t>
  </si>
  <si>
    <t>Dänemark</t>
  </si>
  <si>
    <t>DKK</t>
  </si>
  <si>
    <t>Paul Hartmann</t>
  </si>
  <si>
    <t>747404 DE</t>
  </si>
  <si>
    <t xml:space="preserve">Zulieferer Sanitär </t>
  </si>
  <si>
    <t>Geberit</t>
  </si>
  <si>
    <t>A0MQWG CH</t>
  </si>
  <si>
    <t>Schweiz</t>
  </si>
  <si>
    <t>CHF</t>
  </si>
  <si>
    <t>200 T.</t>
  </si>
  <si>
    <t>Holding Immobilien Hotels Bau Einzelhandel</t>
  </si>
  <si>
    <t>Jardine Matheson</t>
  </si>
  <si>
    <t>869042 HK</t>
  </si>
  <si>
    <t>Hong Kong</t>
  </si>
  <si>
    <t xml:space="preserve">Zulieferer Verkehr Flugzeuge Komponenten </t>
  </si>
  <si>
    <t>TransDigM</t>
  </si>
  <si>
    <t>A0JEP3 US</t>
  </si>
  <si>
    <t>Handel Online Versand etc.</t>
  </si>
  <si>
    <t>Amazon</t>
  </si>
  <si>
    <t>906866 US</t>
  </si>
  <si>
    <t xml:space="preserve">Drogerie Reinigung Pflege </t>
  </si>
  <si>
    <t>Church &amp; Dwight</t>
  </si>
  <si>
    <t>864371 US</t>
  </si>
  <si>
    <t>Internet Suchmaschine Online Spiele Musikstreaming</t>
  </si>
  <si>
    <t>NetEase</t>
  </si>
  <si>
    <t>501822 CN</t>
  </si>
  <si>
    <t>China</t>
  </si>
  <si>
    <t>Dienstleister Catering Gebäudemanagement</t>
  </si>
  <si>
    <t>Sodexo</t>
  </si>
  <si>
    <t>870935 FR</t>
  </si>
  <si>
    <t>Frankreich</t>
  </si>
  <si>
    <t>Energie &amp; Rohstoffe</t>
  </si>
  <si>
    <t>Energieversorger Erdgas Strom erneuerbare Dienstleister Energieb.</t>
  </si>
  <si>
    <t>UGI</t>
  </si>
  <si>
    <t>887836 US</t>
  </si>
  <si>
    <t>Währungen</t>
  </si>
  <si>
    <t>Wert</t>
  </si>
  <si>
    <t>Biotechnologie Erforschung seltener Krankh.</t>
  </si>
  <si>
    <t>Alexion Pharmaceuticals</t>
  </si>
  <si>
    <t>899527 US</t>
  </si>
  <si>
    <t>Pharmazie Nahrungsergänzungsmittel</t>
  </si>
  <si>
    <t>Perrigo</t>
  </si>
  <si>
    <t>A1XAEY US</t>
  </si>
  <si>
    <t>Bekleidung Sport Freizeit Lifestyle</t>
  </si>
  <si>
    <t>Bekleidung Mode Handel</t>
  </si>
  <si>
    <t>Next</t>
  </si>
  <si>
    <t>779551 GB</t>
  </si>
  <si>
    <t>GB</t>
  </si>
  <si>
    <t>GBP</t>
  </si>
  <si>
    <t>Immobilien Vermietung Lagerr. für Waren Fahrzeuge</t>
  </si>
  <si>
    <t>Public Storage</t>
  </si>
  <si>
    <t>867609 US</t>
  </si>
  <si>
    <t>200 T. überschritten</t>
  </si>
  <si>
    <t xml:space="preserve">Dienstleister Beratung Risikobewertung </t>
  </si>
  <si>
    <t>Verisk Analytics</t>
  </si>
  <si>
    <t>A0YA2M US</t>
  </si>
  <si>
    <t>Verkehr Hersteller Feuerwehrfahrzeuge</t>
  </si>
  <si>
    <t>Rosenbauer</t>
  </si>
  <si>
    <t>892502 AT</t>
  </si>
  <si>
    <t>AT</t>
  </si>
  <si>
    <t>Elektro IT Technologie für öffentliche Verkehrsmittel</t>
  </si>
  <si>
    <t>Init</t>
  </si>
  <si>
    <t>575980 DE</t>
  </si>
  <si>
    <t>DE</t>
  </si>
  <si>
    <t>Basismetalle Kupfer</t>
  </si>
  <si>
    <t>Antofagasta</t>
  </si>
  <si>
    <t>867578 GB</t>
  </si>
  <si>
    <r>
      <rPr>
        <sz val="12"/>
        <color theme="1"/>
        <rFont val="Calibri"/>
        <family val="2"/>
        <charset val="204"/>
        <scheme val="minor"/>
      </rPr>
      <t>ATH</t>
    </r>
  </si>
  <si>
    <t>Beginn Musterdepot</t>
  </si>
  <si>
    <t>GBP (Britisches Pfund)</t>
  </si>
  <si>
    <t>Wert 31.12.2017</t>
  </si>
  <si>
    <t>Smith &amp; Nephew</t>
  </si>
  <si>
    <t>502816 GB</t>
  </si>
  <si>
    <t>Biotechnologie Biopharmazeutika</t>
  </si>
  <si>
    <t>Celgene</t>
  </si>
  <si>
    <t>881244 US</t>
  </si>
  <si>
    <t>Basiskonsum</t>
  </si>
  <si>
    <t>850875 US</t>
  </si>
  <si>
    <t>Hormel Foods</t>
  </si>
  <si>
    <t>Rohstoffe</t>
  </si>
  <si>
    <t>Agrar Agribusiness</t>
  </si>
  <si>
    <t>Archer Daniels Midland</t>
  </si>
  <si>
    <t>854161 US</t>
  </si>
  <si>
    <t>Kurs aktuell</t>
  </si>
  <si>
    <t>Kurs in €  aktuell</t>
  </si>
  <si>
    <t>Wert aktuell</t>
  </si>
  <si>
    <t>Stand</t>
  </si>
  <si>
    <t>Dauer in Jahren</t>
  </si>
  <si>
    <t>Aufwärts ca. 3,4%</t>
  </si>
  <si>
    <t>Energie</t>
  </si>
  <si>
    <t>Versorger Betreiber Pipeline System</t>
  </si>
  <si>
    <t>Enbridge</t>
  </si>
  <si>
    <t>885427 CA</t>
  </si>
  <si>
    <r>
      <t>Wert</t>
    </r>
    <r>
      <rPr>
        <sz val="12"/>
        <color theme="1"/>
        <rFont val="Calibri"/>
        <family val="2"/>
        <charset val="204"/>
        <scheme val="minor"/>
      </rPr>
      <t xml:space="preserve"> 02.03.2018</t>
    </r>
  </si>
  <si>
    <t>Finanzen</t>
  </si>
  <si>
    <t>Bank</t>
  </si>
  <si>
    <t>HDFC Bank</t>
  </si>
  <si>
    <t>694482 IND</t>
  </si>
  <si>
    <t>Indien</t>
  </si>
  <si>
    <t>knapp unter 200-T.</t>
  </si>
  <si>
    <t>Drogerie Reinigung Klebstoffe</t>
  </si>
  <si>
    <t>Henkel</t>
  </si>
  <si>
    <t>604843 DE</t>
  </si>
  <si>
    <t>Rational</t>
  </si>
  <si>
    <t>Cisco</t>
  </si>
  <si>
    <t>Constellation Brands</t>
  </si>
  <si>
    <t>871918 US</t>
  </si>
  <si>
    <t>Getränke Wein Bier Spirituosen</t>
  </si>
  <si>
    <t>Maschinenbau Küchen Groß- und Gewerbe</t>
  </si>
  <si>
    <t>701080 DE</t>
  </si>
  <si>
    <t>abwärts 5% unter 200-T.</t>
  </si>
  <si>
    <t>Großbritanien</t>
  </si>
  <si>
    <t>aktuell</t>
  </si>
  <si>
    <t>Währungen für Dividenden</t>
  </si>
  <si>
    <t>US$ (Mittelwert)</t>
  </si>
  <si>
    <t>Dividenden-rendite Mittelwert</t>
  </si>
  <si>
    <t>Dienstleister Analyseverfahren Labor</t>
  </si>
  <si>
    <t>Eurofins Scientific</t>
  </si>
  <si>
    <t>910251 FR</t>
  </si>
  <si>
    <t>Hardware Netzwerkausrüster</t>
  </si>
  <si>
    <t>878841 US</t>
  </si>
  <si>
    <t>aufwärts stark</t>
  </si>
  <si>
    <r>
      <t>Lebe</t>
    </r>
    <r>
      <rPr>
        <sz val="12"/>
        <color theme="1"/>
        <rFont val="Calibri"/>
        <family val="2"/>
        <charset val="204"/>
        <scheme val="minor"/>
      </rPr>
      <t>n</t>
    </r>
    <r>
      <rPr>
        <sz val="12"/>
        <color theme="1"/>
        <rFont val="Calibri"/>
        <family val="2"/>
        <charset val="204"/>
        <scheme val="minor"/>
      </rPr>
      <t>s</t>
    </r>
    <r>
      <rPr>
        <sz val="12"/>
        <color theme="1"/>
        <rFont val="Calibri"/>
        <family val="2"/>
        <charset val="204"/>
        <scheme val="minor"/>
      </rPr>
      <t>m</t>
    </r>
    <r>
      <rPr>
        <sz val="12"/>
        <color theme="1"/>
        <rFont val="Calibri"/>
        <family val="2"/>
        <charset val="204"/>
        <scheme val="minor"/>
      </rPr>
      <t>ittel Hersteller u.a. Fleischprodukte</t>
    </r>
  </si>
  <si>
    <t>Cerner</t>
  </si>
  <si>
    <t>Software - Healthcare-Informationstechnologie-Lösungen</t>
  </si>
  <si>
    <t>Aufwärts - 2,36%</t>
  </si>
  <si>
    <t>Grenke</t>
  </si>
  <si>
    <r>
      <t>892807</t>
    </r>
    <r>
      <rPr>
        <sz val="12"/>
        <color theme="1"/>
        <rFont val="Calibri"/>
        <family val="2"/>
        <charset val="204"/>
        <scheme val="minor"/>
      </rPr>
      <t xml:space="preserve"> US</t>
    </r>
  </si>
  <si>
    <t>A161N3 DE</t>
  </si>
  <si>
    <t>3M</t>
  </si>
  <si>
    <t>851745 US</t>
  </si>
  <si>
    <t>Abwärts - -8,43%</t>
  </si>
  <si>
    <t>Konsum</t>
  </si>
  <si>
    <t>Alibaba</t>
  </si>
  <si>
    <t>A117ME CN</t>
  </si>
  <si>
    <r>
      <t>Wert</t>
    </r>
    <r>
      <rPr>
        <sz val="12"/>
        <color theme="1"/>
        <rFont val="Calibri"/>
        <family val="2"/>
        <charset val="204"/>
        <scheme val="minor"/>
      </rPr>
      <t xml:space="preserve"> 17.08.2018</t>
    </r>
  </si>
  <si>
    <t>Abwärts - -8,58%</t>
  </si>
  <si>
    <t>Internet - Neue Technologien Soziale Netzwerke Online Spiele</t>
  </si>
  <si>
    <t>Handel - Online Handelsplattform</t>
  </si>
  <si>
    <t>Holding - Medizin Sicherh. Elektron. Telekommunik. Industrie Büroart.</t>
  </si>
  <si>
    <t>Finanzdienstleister - Leasing Miete Services Remarketing IT-Equipment Bürokommunikation</t>
  </si>
  <si>
    <t>Tencent Holdings</t>
  </si>
  <si>
    <t>A1138D KY</t>
  </si>
  <si>
    <t>Abwärts - -22,56%</t>
  </si>
  <si>
    <t>Dienstleister - Hausverwaltung Wäscherei Catering Altenpflege</t>
  </si>
  <si>
    <t>Healthcare Service Group</t>
  </si>
  <si>
    <t>870932 US</t>
  </si>
  <si>
    <t>Abwärts - -10,12%</t>
  </si>
  <si>
    <t>Biotechnologie - Beteiligungsgesellschaft</t>
  </si>
  <si>
    <t>BB Biotech</t>
  </si>
  <si>
    <t>A0NFN3 CH</t>
  </si>
  <si>
    <t>Tyson Foods</t>
  </si>
  <si>
    <t>Lebensmittel - Hersteller Fleisch- Fertigprodukte</t>
  </si>
  <si>
    <t>870625 US</t>
  </si>
  <si>
    <t>Abwärts - -19,00%</t>
  </si>
  <si>
    <t>Industrie - Zulieferer Bau Sicherheitst. Sicherheitssyst. Schließlösungen</t>
  </si>
  <si>
    <t>Assa Abloy</t>
  </si>
  <si>
    <t>A14TVM SE</t>
  </si>
  <si>
    <t>Aufwärts - 1,83%</t>
  </si>
  <si>
    <t>Aufwärts - 0,91%</t>
  </si>
  <si>
    <t>200 Tage Linie - -0,86%</t>
  </si>
  <si>
    <r>
      <t xml:space="preserve">Industrie - </t>
    </r>
    <r>
      <rPr>
        <sz val="12"/>
        <color theme="1"/>
        <rFont val="Calibri"/>
        <family val="2"/>
        <charset val="204"/>
        <scheme val="minor"/>
      </rPr>
      <t xml:space="preserve">Maschinen- und Anlagenbau Rolltreppen Aufzüge </t>
    </r>
  </si>
  <si>
    <t>Schindler</t>
  </si>
  <si>
    <t>A0JEHV CH</t>
  </si>
  <si>
    <t>Industrie - Maschinen- und Anlagenbau Küchen für Großgewerbe</t>
  </si>
  <si>
    <r>
      <t xml:space="preserve">Lebensmittel - Hersteller </t>
    </r>
    <r>
      <rPr>
        <sz val="12"/>
        <color theme="1"/>
        <rFont val="Calibri"/>
        <family val="2"/>
        <charset val="204"/>
        <scheme val="minor"/>
      </rPr>
      <t>Allgemein</t>
    </r>
  </si>
  <si>
    <t>Sysco</t>
  </si>
  <si>
    <t>859121 US</t>
  </si>
  <si>
    <r>
      <t>200 Tage Linie - -0,</t>
    </r>
    <r>
      <rPr>
        <sz val="12"/>
        <color theme="1"/>
        <rFont val="Calibri"/>
        <family val="2"/>
        <charset val="204"/>
        <scheme val="minor"/>
      </rPr>
      <t>46</t>
    </r>
    <r>
      <rPr>
        <sz val="12"/>
        <color theme="1"/>
        <rFont val="Calibri"/>
        <family val="2"/>
        <charset val="204"/>
        <scheme val="minor"/>
      </rPr>
      <t>%</t>
    </r>
  </si>
  <si>
    <t>Intercontinental Hotels Group</t>
  </si>
  <si>
    <t>Gastronomie Hotelgewerbe</t>
  </si>
  <si>
    <t>A2DPZX GB</t>
  </si>
  <si>
    <t>Dienstleister Finanzen Ratingagentur</t>
  </si>
  <si>
    <t>S&amp;P Global</t>
  </si>
  <si>
    <t>A2AHZ7 US</t>
  </si>
  <si>
    <t>Chemie - Industrie Agrar Bau Öl</t>
  </si>
  <si>
    <t>BASF</t>
  </si>
  <si>
    <t>BASF11 DE</t>
  </si>
  <si>
    <r>
      <t>Abwärts - -1</t>
    </r>
    <r>
      <rPr>
        <sz val="12"/>
        <color theme="1"/>
        <rFont val="Calibri"/>
        <family val="2"/>
        <charset val="204"/>
        <scheme val="minor"/>
      </rPr>
      <t>6</t>
    </r>
    <r>
      <rPr>
        <sz val="12"/>
        <color theme="1"/>
        <rFont val="Calibri"/>
        <family val="2"/>
        <charset val="204"/>
        <scheme val="minor"/>
      </rPr>
      <t>,</t>
    </r>
    <r>
      <rPr>
        <sz val="12"/>
        <color theme="1"/>
        <rFont val="Calibri"/>
        <family val="2"/>
        <charset val="204"/>
        <scheme val="minor"/>
      </rPr>
      <t>59</t>
    </r>
    <r>
      <rPr>
        <sz val="12"/>
        <color theme="1"/>
        <rFont val="Calibri"/>
        <family val="2"/>
        <charset val="204"/>
        <scheme val="minor"/>
      </rPr>
      <t>%</t>
    </r>
  </si>
  <si>
    <t>Salesforce.com</t>
  </si>
  <si>
    <t xml:space="preserve">zyklisch - Luxusgüter - Kosmetik Spirituosen Mode </t>
  </si>
  <si>
    <t>LVMH</t>
  </si>
  <si>
    <t>853292 FR</t>
  </si>
  <si>
    <r>
      <t>Abwärts - -8,</t>
    </r>
    <r>
      <rPr>
        <sz val="12"/>
        <color theme="1"/>
        <rFont val="Calibri"/>
        <family val="2"/>
        <charset val="204"/>
        <scheme val="minor"/>
      </rPr>
      <t>89</t>
    </r>
    <r>
      <rPr>
        <sz val="12"/>
        <color theme="1"/>
        <rFont val="Calibri"/>
        <family val="2"/>
        <charset val="204"/>
        <scheme val="minor"/>
      </rPr>
      <t>%</t>
    </r>
  </si>
  <si>
    <t>Dienstleister - Gesundheitsfürs. Pflege Altenpflege Betreiber Einricht. pflegebed. Menschen</t>
  </si>
  <si>
    <t>Orpea</t>
  </si>
  <si>
    <t>575626 FR</t>
  </si>
  <si>
    <r>
      <t xml:space="preserve">Aufwärts - </t>
    </r>
    <r>
      <rPr>
        <sz val="12"/>
        <color theme="1"/>
        <rFont val="Calibri"/>
        <family val="2"/>
        <charset val="204"/>
        <scheme val="minor"/>
      </rPr>
      <t>16,22</t>
    </r>
    <r>
      <rPr>
        <sz val="12"/>
        <color theme="1"/>
        <rFont val="Calibri"/>
        <family val="2"/>
        <charset val="204"/>
        <scheme val="minor"/>
      </rPr>
      <t>%</t>
    </r>
  </si>
  <si>
    <t>Software - Cloud Computing</t>
  </si>
  <si>
    <t>A0B87V US</t>
  </si>
  <si>
    <r>
      <t>Ab</t>
    </r>
    <r>
      <rPr>
        <sz val="12"/>
        <color theme="1"/>
        <rFont val="Calibri"/>
        <family val="2"/>
        <charset val="204"/>
        <scheme val="minor"/>
      </rPr>
      <t xml:space="preserve">wärts - </t>
    </r>
    <r>
      <rPr>
        <sz val="12"/>
        <color theme="1"/>
        <rFont val="Calibri"/>
        <family val="2"/>
        <charset val="204"/>
        <scheme val="minor"/>
      </rPr>
      <t>10</t>
    </r>
    <r>
      <rPr>
        <sz val="12"/>
        <color theme="1"/>
        <rFont val="Calibri"/>
        <family val="2"/>
        <charset val="204"/>
        <scheme val="minor"/>
      </rPr>
      <t>,</t>
    </r>
    <r>
      <rPr>
        <sz val="12"/>
        <color theme="1"/>
        <rFont val="Calibri"/>
        <family val="2"/>
        <charset val="204"/>
        <scheme val="minor"/>
      </rPr>
      <t>16</t>
    </r>
    <r>
      <rPr>
        <sz val="12"/>
        <color theme="1"/>
        <rFont val="Calibri"/>
        <family val="2"/>
        <charset val="204"/>
        <scheme val="minor"/>
      </rPr>
      <t>%</t>
    </r>
  </si>
  <si>
    <t>Abwärts - -4,86%</t>
  </si>
  <si>
    <r>
      <t>Abwärts</t>
    </r>
    <r>
      <rPr>
        <sz val="12"/>
        <color theme="1"/>
        <rFont val="Calibri"/>
        <family val="2"/>
        <charset val="204"/>
        <scheme val="minor"/>
      </rPr>
      <t xml:space="preserve"> - -</t>
    </r>
    <r>
      <rPr>
        <sz val="12"/>
        <color theme="1"/>
        <rFont val="Calibri"/>
        <family val="2"/>
        <charset val="204"/>
        <scheme val="minor"/>
      </rPr>
      <t>9,43%</t>
    </r>
  </si>
  <si>
    <r>
      <t>Abwärts - -</t>
    </r>
    <r>
      <rPr>
        <sz val="12"/>
        <color theme="1"/>
        <rFont val="Calibri"/>
        <family val="2"/>
        <charset val="204"/>
        <scheme val="minor"/>
      </rPr>
      <t>9,18%</t>
    </r>
  </si>
  <si>
    <r>
      <t>Wert</t>
    </r>
    <r>
      <rPr>
        <sz val="12"/>
        <color theme="1"/>
        <rFont val="Calibri"/>
        <family val="2"/>
        <charset val="204"/>
        <scheme val="minor"/>
      </rPr>
      <t xml:space="preserve"> 20.11.2018</t>
    </r>
  </si>
  <si>
    <t>Mittags</t>
  </si>
  <si>
    <r>
      <t>A</t>
    </r>
    <r>
      <rPr>
        <sz val="12"/>
        <color theme="1"/>
        <rFont val="Calibri"/>
        <family val="2"/>
        <charset val="204"/>
        <scheme val="minor"/>
      </rPr>
      <t>bwärts - 9,21%</t>
    </r>
  </si>
  <si>
    <r>
      <t>Abwärts - -</t>
    </r>
    <r>
      <rPr>
        <sz val="12"/>
        <color theme="1"/>
        <rFont val="Calibri"/>
        <family val="2"/>
        <charset val="204"/>
        <scheme val="minor"/>
      </rPr>
      <t>9,75%</t>
    </r>
  </si>
  <si>
    <t>Medizintechnik Geräte Zahnt. Tiergesundh.</t>
  </si>
  <si>
    <t>Henry Schein</t>
  </si>
  <si>
    <t>897961 US</t>
  </si>
  <si>
    <r>
      <t>Wert 31.12.201</t>
    </r>
    <r>
      <rPr>
        <sz val="12"/>
        <color theme="1"/>
        <rFont val="Calibri"/>
        <family val="2"/>
        <charset val="204"/>
        <scheme val="minor"/>
      </rPr>
      <t>8</t>
    </r>
  </si>
  <si>
    <t>Verkehr Hersteller</t>
  </si>
  <si>
    <t>BMW</t>
  </si>
  <si>
    <t>519003 DE</t>
  </si>
  <si>
    <t>Sonstige Dienstl. Kontrollen Analyse Prüf- Abnahme</t>
  </si>
  <si>
    <t>FR</t>
  </si>
  <si>
    <t>Internet Neue Technologien Suchmaschine</t>
  </si>
  <si>
    <t>Baidu</t>
  </si>
  <si>
    <t>A0F5DE CN</t>
  </si>
  <si>
    <t>CN</t>
  </si>
  <si>
    <t>zwischen 20:15 und 20:30 Uhr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</si>
</sst>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46">
    <xf numFmtId="0" fontId="0" fillId="0" borderId="0"/>
    <xf numFmtId="0" fontId="16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77">
    <xf numFmtId="0" fontId="0" fillId="0" borderId="0" xfId="0"/>
    <xf numFmtId="0" fontId="15" fillId="0" borderId="0" xfId="0" applyFont="1"/>
    <xf numFmtId="4" fontId="15" fillId="0" borderId="0" xfId="0" applyNumberFormat="1" applyFont="1"/>
    <xf numFmtId="10" fontId="15" fillId="0" borderId="0" xfId="0" applyNumberFormat="1" applyFont="1"/>
    <xf numFmtId="0" fontId="17" fillId="0" borderId="0" xfId="0" applyFont="1"/>
    <xf numFmtId="0" fontId="15" fillId="0" borderId="1" xfId="0" applyFont="1" applyBorder="1"/>
    <xf numFmtId="4" fontId="15" fillId="0" borderId="1" xfId="0" applyNumberFormat="1" applyFont="1" applyBorder="1"/>
    <xf numFmtId="10" fontId="15" fillId="0" borderId="1" xfId="0" applyNumberFormat="1" applyFont="1" applyBorder="1"/>
    <xf numFmtId="4" fontId="15" fillId="0" borderId="1" xfId="0" applyNumberFormat="1" applyFont="1" applyBorder="1" applyAlignment="1">
      <alignment wrapText="1"/>
    </xf>
    <xf numFmtId="10" fontId="15" fillId="0" borderId="1" xfId="0" applyNumberFormat="1" applyFont="1" applyBorder="1" applyAlignment="1">
      <alignment wrapText="1"/>
    </xf>
    <xf numFmtId="0" fontId="17" fillId="0" borderId="1" xfId="0" applyFont="1" applyBorder="1"/>
    <xf numFmtId="4" fontId="17" fillId="0" borderId="1" xfId="0" applyNumberFormat="1" applyFont="1" applyBorder="1"/>
    <xf numFmtId="10" fontId="17" fillId="0" borderId="1" xfId="0" applyNumberFormat="1" applyFont="1" applyBorder="1"/>
    <xf numFmtId="0" fontId="14" fillId="2" borderId="0" xfId="0" applyFont="1" applyFill="1"/>
    <xf numFmtId="0" fontId="15" fillId="2" borderId="0" xfId="0" applyFont="1" applyFill="1"/>
    <xf numFmtId="4" fontId="15" fillId="2" borderId="0" xfId="0" applyNumberFormat="1" applyFont="1" applyFill="1"/>
    <xf numFmtId="10" fontId="15" fillId="2" borderId="0" xfId="0" applyNumberFormat="1" applyFont="1" applyFill="1"/>
    <xf numFmtId="1" fontId="13" fillId="0" borderId="1" xfId="0" applyNumberFormat="1" applyFont="1" applyBorder="1" applyAlignment="1">
      <alignment wrapText="1"/>
    </xf>
    <xf numFmtId="1" fontId="15" fillId="0" borderId="1" xfId="0" applyNumberFormat="1" applyFont="1" applyBorder="1"/>
    <xf numFmtId="1" fontId="17" fillId="0" borderId="1" xfId="0" applyNumberFormat="1" applyFont="1" applyBorder="1"/>
    <xf numFmtId="1" fontId="15" fillId="2" borderId="0" xfId="0" applyNumberFormat="1" applyFont="1" applyFill="1"/>
    <xf numFmtId="1" fontId="15" fillId="0" borderId="0" xfId="0" applyNumberFormat="1" applyFont="1"/>
    <xf numFmtId="4" fontId="13" fillId="0" borderId="1" xfId="0" applyNumberFormat="1" applyFont="1" applyBorder="1"/>
    <xf numFmtId="10" fontId="13" fillId="0" borderId="1" xfId="0" applyNumberFormat="1" applyFont="1" applyBorder="1" applyAlignment="1">
      <alignment wrapText="1"/>
    </xf>
    <xf numFmtId="4" fontId="12" fillId="2" borderId="0" xfId="0" applyNumberFormat="1" applyFont="1" applyFill="1"/>
    <xf numFmtId="4" fontId="12" fillId="0" borderId="1" xfId="0" applyNumberFormat="1" applyFont="1" applyBorder="1" applyAlignment="1">
      <alignment wrapText="1"/>
    </xf>
    <xf numFmtId="4" fontId="12" fillId="0" borderId="1" xfId="0" applyNumberFormat="1" applyFont="1" applyBorder="1"/>
    <xf numFmtId="0" fontId="12" fillId="2" borderId="0" xfId="0" applyFont="1" applyFill="1"/>
    <xf numFmtId="4" fontId="11" fillId="0" borderId="1" xfId="0" applyNumberFormat="1" applyFont="1" applyBorder="1"/>
    <xf numFmtId="0" fontId="10" fillId="0" borderId="1" xfId="0" applyFont="1" applyBorder="1"/>
    <xf numFmtId="4" fontId="10" fillId="0" borderId="1" xfId="0" applyNumberFormat="1" applyFont="1" applyBorder="1" applyAlignment="1">
      <alignment wrapText="1"/>
    </xf>
    <xf numFmtId="10" fontId="10" fillId="0" borderId="1" xfId="0" applyNumberFormat="1" applyFont="1" applyBorder="1"/>
    <xf numFmtId="1" fontId="10" fillId="0" borderId="1" xfId="0" applyNumberFormat="1" applyFont="1" applyBorder="1" applyAlignment="1">
      <alignment wrapText="1"/>
    </xf>
    <xf numFmtId="4" fontId="10" fillId="0" borderId="1" xfId="0" applyNumberFormat="1" applyFont="1" applyBorder="1"/>
    <xf numFmtId="10" fontId="10" fillId="0" borderId="1" xfId="0" applyNumberFormat="1" applyFont="1" applyBorder="1" applyAlignment="1">
      <alignment wrapText="1"/>
    </xf>
    <xf numFmtId="0" fontId="10" fillId="0" borderId="0" xfId="0" applyFont="1"/>
    <xf numFmtId="1" fontId="10" fillId="0" borderId="1" xfId="0" applyNumberFormat="1" applyFont="1" applyBorder="1"/>
    <xf numFmtId="0" fontId="10" fillId="0" borderId="1" xfId="0" applyFont="1" applyFill="1" applyBorder="1"/>
    <xf numFmtId="0" fontId="21" fillId="0" borderId="1" xfId="0" applyFont="1" applyBorder="1"/>
    <xf numFmtId="0" fontId="0" fillId="0" borderId="1" xfId="0" applyFont="1" applyBorder="1" applyAlignment="1">
      <alignment wrapText="1"/>
    </xf>
    <xf numFmtId="0" fontId="10" fillId="2" borderId="0" xfId="0" applyFont="1" applyFill="1"/>
    <xf numFmtId="4" fontId="10" fillId="2" borderId="0" xfId="0" applyNumberFormat="1" applyFont="1" applyFill="1"/>
    <xf numFmtId="10" fontId="10" fillId="2" borderId="0" xfId="0" applyNumberFormat="1" applyFont="1" applyFill="1"/>
    <xf numFmtId="1" fontId="10" fillId="2" borderId="0" xfId="0" applyNumberFormat="1" applyFont="1" applyFill="1"/>
    <xf numFmtId="4" fontId="10" fillId="0" borderId="0" xfId="0" applyNumberFormat="1" applyFont="1"/>
    <xf numFmtId="10" fontId="10" fillId="0" borderId="0" xfId="0" applyNumberFormat="1" applyFont="1"/>
    <xf numFmtId="1" fontId="10" fillId="0" borderId="0" xfId="0" applyNumberFormat="1" applyFont="1"/>
    <xf numFmtId="0" fontId="0" fillId="0" borderId="1" xfId="0" applyFont="1" applyBorder="1"/>
    <xf numFmtId="15" fontId="10" fillId="0" borderId="0" xfId="0" applyNumberFormat="1" applyFont="1"/>
    <xf numFmtId="4" fontId="9" fillId="0" borderId="1" xfId="0" applyNumberFormat="1" applyFont="1" applyBorder="1" applyAlignment="1">
      <alignment wrapText="1"/>
    </xf>
    <xf numFmtId="0" fontId="9" fillId="0" borderId="0" xfId="0" applyFont="1"/>
    <xf numFmtId="14" fontId="15" fillId="0" borderId="0" xfId="0" applyNumberFormat="1" applyFont="1"/>
    <xf numFmtId="0" fontId="9" fillId="2" borderId="0" xfId="0" applyFont="1" applyFill="1"/>
    <xf numFmtId="0" fontId="9" fillId="0" borderId="1" xfId="0" applyFont="1" applyBorder="1"/>
    <xf numFmtId="4" fontId="9" fillId="0" borderId="0" xfId="0" applyNumberFormat="1" applyFont="1"/>
    <xf numFmtId="10" fontId="9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8" fillId="0" borderId="0" xfId="0" applyFont="1"/>
    <xf numFmtId="0" fontId="22" fillId="0" borderId="0" xfId="0" applyFont="1"/>
    <xf numFmtId="0" fontId="7" fillId="0" borderId="1" xfId="0" applyFont="1" applyBorder="1"/>
    <xf numFmtId="0" fontId="6" fillId="2" borderId="0" xfId="0" applyFont="1" applyFill="1"/>
    <xf numFmtId="0" fontId="6" fillId="0" borderId="1" xfId="0" applyFont="1" applyBorder="1"/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0" fontId="6" fillId="0" borderId="0" xfId="0" applyFont="1"/>
    <xf numFmtId="10" fontId="17" fillId="0" borderId="0" xfId="0" applyNumberFormat="1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2" borderId="0" xfId="0" applyFont="1" applyFill="1"/>
    <xf numFmtId="4" fontId="4" fillId="0" borderId="1" xfId="0" applyNumberFormat="1" applyFont="1" applyBorder="1" applyAlignment="1">
      <alignment wrapText="1"/>
    </xf>
    <xf numFmtId="0" fontId="4" fillId="0" borderId="0" xfId="0" applyFont="1"/>
    <xf numFmtId="0" fontId="3" fillId="0" borderId="1" xfId="0" applyFont="1" applyBorder="1"/>
    <xf numFmtId="4" fontId="3" fillId="0" borderId="1" xfId="0" applyNumberFormat="1" applyFont="1" applyBorder="1" applyAlignment="1">
      <alignment wrapText="1"/>
    </xf>
    <xf numFmtId="0" fontId="3" fillId="0" borderId="1" xfId="0" applyFont="1" applyFill="1" applyBorder="1"/>
    <xf numFmtId="0" fontId="2" fillId="0" borderId="1" xfId="0" applyFont="1" applyBorder="1"/>
  </cellXfs>
  <cellStyles count="246">
    <cellStyle name="Besuchter Link" xfId="3" builtinId="9" hidden="1"/>
    <cellStyle name="Besuchter Link" xfId="5" builtinId="9" hidden="1"/>
    <cellStyle name="Besuchter Link" xfId="7" builtinId="9" hidden="1"/>
    <cellStyle name="Besuchter Link" xfId="9" builtinId="9" hidden="1"/>
    <cellStyle name="Besuchter Link" xfId="11" builtinId="9" hidden="1"/>
    <cellStyle name="Besuchter Link" xfId="13" builtinId="9" hidden="1"/>
    <cellStyle name="Besuchter Link" xfId="15" builtinId="9" hidden="1"/>
    <cellStyle name="Besuchter Link" xfId="17" builtinId="9" hidden="1"/>
    <cellStyle name="Besuchter Link" xfId="19" builtinId="9" hidden="1"/>
    <cellStyle name="Besuchter Link" xfId="21" builtinId="9" hidden="1"/>
    <cellStyle name="Besuchter Link" xfId="23" builtinId="9" hidden="1"/>
    <cellStyle name="Besuchter Link" xfId="25" builtinId="9" hidden="1"/>
    <cellStyle name="Besuchter Link" xfId="27" builtinId="9" hidden="1"/>
    <cellStyle name="Besuchter Link" xfId="29" builtinId="9" hidden="1"/>
    <cellStyle name="Besuchter Link" xfId="31" builtinId="9" hidden="1"/>
    <cellStyle name="Besuchter Link" xfId="33" builtinId="9" hidden="1"/>
    <cellStyle name="Besuchter Link" xfId="35" builtinId="9" hidden="1"/>
    <cellStyle name="Besuchter Link" xfId="37" builtinId="9" hidden="1"/>
    <cellStyle name="Besuchter Link" xfId="39" builtinId="9" hidden="1"/>
    <cellStyle name="Besuchter Link" xfId="41" builtinId="9" hidden="1"/>
    <cellStyle name="Besuchter Link" xfId="43" builtinId="9" hidden="1"/>
    <cellStyle name="Besuchter Link" xfId="45" builtinId="9" hidden="1"/>
    <cellStyle name="Besuchter Link" xfId="47" builtinId="9" hidden="1"/>
    <cellStyle name="Besuchter Link" xfId="49" builtinId="9" hidden="1"/>
    <cellStyle name="Besuchter Link" xfId="51" builtinId="9" hidden="1"/>
    <cellStyle name="Besuchter Link" xfId="53" builtinId="9" hidden="1"/>
    <cellStyle name="Besuchter Link" xfId="55" builtinId="9" hidden="1"/>
    <cellStyle name="Besuchter Link" xfId="57" builtinId="9" hidden="1"/>
    <cellStyle name="Besuchter Link" xfId="59" builtinId="9" hidden="1"/>
    <cellStyle name="Besuchter Link" xfId="61" builtinId="9" hidden="1"/>
    <cellStyle name="Besuchter Link" xfId="63" builtinId="9" hidden="1"/>
    <cellStyle name="Besuchter Link" xfId="65" builtinId="9" hidden="1"/>
    <cellStyle name="Besuchter Link" xfId="67" builtinId="9" hidden="1"/>
    <cellStyle name="Besuchter Link" xfId="69" builtinId="9" hidden="1"/>
    <cellStyle name="Besuchter Link" xfId="71" builtinId="9" hidden="1"/>
    <cellStyle name="Besuchter Link" xfId="73" builtinId="9" hidden="1"/>
    <cellStyle name="Besuchter Link" xfId="75" builtinId="9" hidden="1"/>
    <cellStyle name="Besuchter Link" xfId="77" builtinId="9" hidden="1"/>
    <cellStyle name="Besuchter Link" xfId="79" builtinId="9" hidden="1"/>
    <cellStyle name="Besuchter Link" xfId="81" builtinId="9" hidden="1"/>
    <cellStyle name="Besuchter Link" xfId="83" builtinId="9" hidden="1"/>
    <cellStyle name="Besuchter Link" xfId="85" builtinId="9" hidden="1"/>
    <cellStyle name="Besuchter Link" xfId="87" builtinId="9" hidden="1"/>
    <cellStyle name="Besuchter Link" xfId="89" builtinId="9" hidden="1"/>
    <cellStyle name="Besuchter Link" xfId="91" builtinId="9" hidden="1"/>
    <cellStyle name="Besuchter Link" xfId="93" builtinId="9" hidden="1"/>
    <cellStyle name="Besuchter Link" xfId="95" builtinId="9" hidden="1"/>
    <cellStyle name="Besuchter Link" xfId="97" builtinId="9" hidden="1"/>
    <cellStyle name="Besuchter Link" xfId="99" builtinId="9" hidden="1"/>
    <cellStyle name="Besuchter Link" xfId="101" builtinId="9" hidden="1"/>
    <cellStyle name="Besuchter Link" xfId="103" builtinId="9" hidden="1"/>
    <cellStyle name="Besuchter Link" xfId="105" builtinId="9" hidden="1"/>
    <cellStyle name="Besuchter Link" xfId="107" builtinId="9" hidden="1"/>
    <cellStyle name="Besuchter Link" xfId="109" builtinId="9" hidden="1"/>
    <cellStyle name="Besuchter Link" xfId="111" builtinId="9" hidden="1"/>
    <cellStyle name="Besuchter Link" xfId="113" builtinId="9" hidden="1"/>
    <cellStyle name="Besuchter Link" xfId="115" builtinId="9" hidden="1"/>
    <cellStyle name="Besuchter Link" xfId="117" builtinId="9" hidden="1"/>
    <cellStyle name="Besuchter Link" xfId="119" builtinId="9" hidden="1"/>
    <cellStyle name="Besuchter Link" xfId="121" builtinId="9" hidden="1"/>
    <cellStyle name="Besuchter Link" xfId="123" builtinId="9" hidden="1"/>
    <cellStyle name="Besuchter Link" xfId="125" builtinId="9" hidden="1"/>
    <cellStyle name="Besuchter Link" xfId="127" builtinId="9" hidden="1"/>
    <cellStyle name="Besuchter Link" xfId="129" builtinId="9" hidden="1"/>
    <cellStyle name="Besuchter Link" xfId="131" builtinId="9" hidden="1"/>
    <cellStyle name="Besuchter Link" xfId="133" builtinId="9" hidden="1"/>
    <cellStyle name="Besuchter Link" xfId="135" builtinId="9" hidden="1"/>
    <cellStyle name="Besuchter Link" xfId="137" builtinId="9" hidden="1"/>
    <cellStyle name="Besuchter Link" xfId="139" builtinId="9" hidden="1"/>
    <cellStyle name="Besuchter Link" xfId="141" builtinId="9" hidden="1"/>
    <cellStyle name="Besuchter Link" xfId="143" builtinId="9" hidden="1"/>
    <cellStyle name="Besuchter Link" xfId="145" builtinId="9" hidden="1"/>
    <cellStyle name="Besuchter Link" xfId="147" builtinId="9" hidden="1"/>
    <cellStyle name="Besuchter Link" xfId="149" builtinId="9" hidden="1"/>
    <cellStyle name="Besuchter Link" xfId="151" builtinId="9" hidden="1"/>
    <cellStyle name="Besuchter Link" xfId="153" builtinId="9" hidden="1"/>
    <cellStyle name="Besuchter Link" xfId="155" builtinId="9" hidden="1"/>
    <cellStyle name="Besuchter Link" xfId="157" builtinId="9" hidden="1"/>
    <cellStyle name="Besuchter Link" xfId="159" builtinId="9" hidden="1"/>
    <cellStyle name="Besuchter Link" xfId="161" builtinId="9" hidden="1"/>
    <cellStyle name="Besuchter Link" xfId="163" builtinId="9" hidden="1"/>
    <cellStyle name="Besuchter Link" xfId="165" builtinId="9" hidden="1"/>
    <cellStyle name="Besuchter Link" xfId="167" builtinId="9" hidden="1"/>
    <cellStyle name="Besuchter Link" xfId="169" builtinId="9" hidden="1"/>
    <cellStyle name="Besuchter Link" xfId="171" builtinId="9" hidden="1"/>
    <cellStyle name="Besuchter Link" xfId="173" builtinId="9" hidden="1"/>
    <cellStyle name="Besuchter Link" xfId="175" builtinId="9" hidden="1"/>
    <cellStyle name="Besuchter Link" xfId="177" builtinId="9" hidden="1"/>
    <cellStyle name="Besuchter Link" xfId="179" builtinId="9" hidden="1"/>
    <cellStyle name="Besuchter Link" xfId="181" builtinId="9" hidden="1"/>
    <cellStyle name="Besuchter Link" xfId="183" builtinId="9" hidden="1"/>
    <cellStyle name="Besuchter Link" xfId="185" builtinId="9" hidden="1"/>
    <cellStyle name="Besuchter Link" xfId="187" builtinId="9" hidden="1"/>
    <cellStyle name="Besuchter Link" xfId="189" builtinId="9" hidden="1"/>
    <cellStyle name="Besuchter Link" xfId="191" builtinId="9" hidden="1"/>
    <cellStyle name="Besuchter Link" xfId="193" builtinId="9" hidden="1"/>
    <cellStyle name="Besuchter Link" xfId="195" builtinId="9" hidden="1"/>
    <cellStyle name="Besuchter Link" xfId="197" builtinId="9" hidden="1"/>
    <cellStyle name="Besuchter Link" xfId="199" builtinId="9" hidden="1"/>
    <cellStyle name="Besuchter Link" xfId="201" builtinId="9" hidden="1"/>
    <cellStyle name="Besuchter Link" xfId="203" builtinId="9" hidden="1"/>
    <cellStyle name="Besuchter Link" xfId="205" builtinId="9" hidden="1"/>
    <cellStyle name="Besuchter Link" xfId="207" builtinId="9" hidden="1"/>
    <cellStyle name="Besuchter Link" xfId="209" builtinId="9" hidden="1"/>
    <cellStyle name="Besuchter Link" xfId="211" builtinId="9" hidden="1"/>
    <cellStyle name="Besuchter Link" xfId="213" builtinId="9" hidden="1"/>
    <cellStyle name="Besuchter Link" xfId="215" builtinId="9" hidden="1"/>
    <cellStyle name="Besuchter Link" xfId="217" builtinId="9" hidden="1"/>
    <cellStyle name="Besuchter Link" xfId="219" builtinId="9" hidden="1"/>
    <cellStyle name="Besuchter Link" xfId="221" builtinId="9" hidden="1"/>
    <cellStyle name="Besuchter Link" xfId="223" builtinId="9" hidden="1"/>
    <cellStyle name="Besuchter Link" xfId="225" builtinId="9" hidden="1"/>
    <cellStyle name="Besuchter Link" xfId="227" builtinId="9" hidden="1"/>
    <cellStyle name="Besuchter Link" xfId="229" builtinId="9" hidden="1"/>
    <cellStyle name="Besuchter Link" xfId="231" builtinId="9" hidden="1"/>
    <cellStyle name="Besuchter Link" xfId="233" builtinId="9" hidden="1"/>
    <cellStyle name="Besuchter Link" xfId="235" builtinId="9" hidden="1"/>
    <cellStyle name="Besuchter Link" xfId="237" builtinId="9" hidden="1"/>
    <cellStyle name="Besuchter Link" xfId="239" builtinId="9" hidden="1"/>
    <cellStyle name="Besuchter Link" xfId="241" builtinId="9" hidden="1"/>
    <cellStyle name="Besuchter Link" xfId="243" builtinId="9" hidden="1"/>
    <cellStyle name="Besuchter Link" xfId="245" builtinId="9" hidden="1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0" builtinId="8" hidden="1"/>
    <cellStyle name="Link" xfId="82" builtinId="8" hidden="1"/>
    <cellStyle name="Link" xfId="84" builtinId="8" hidden="1"/>
    <cellStyle name="Link" xfId="86" builtinId="8" hidden="1"/>
    <cellStyle name="Link" xfId="88" builtinId="8" hidden="1"/>
    <cellStyle name="Link" xfId="90" builtinId="8" hidden="1"/>
    <cellStyle name="Link" xfId="92" builtinId="8" hidden="1"/>
    <cellStyle name="Link" xfId="94" builtinId="8" hidden="1"/>
    <cellStyle name="Link" xfId="96" builtinId="8" hidden="1"/>
    <cellStyle name="Link" xfId="98" builtinId="8" hidden="1"/>
    <cellStyle name="Link" xfId="100" builtinId="8" hidden="1"/>
    <cellStyle name="Link" xfId="102" builtinId="8" hidden="1"/>
    <cellStyle name="Link" xfId="104" builtinId="8" hidden="1"/>
    <cellStyle name="Link" xfId="106" builtinId="8" hidden="1"/>
    <cellStyle name="Link" xfId="108" builtinId="8" hidden="1"/>
    <cellStyle name="Link" xfId="110" builtinId="8" hidden="1"/>
    <cellStyle name="Link" xfId="112" builtinId="8" hidden="1"/>
    <cellStyle name="Link" xfId="114" builtinId="8" hidden="1"/>
    <cellStyle name="Link" xfId="116" builtinId="8" hidden="1"/>
    <cellStyle name="Link" xfId="118" builtinId="8" hidden="1"/>
    <cellStyle name="Link" xfId="120" builtinId="8" hidden="1"/>
    <cellStyle name="Link" xfId="122" builtinId="8" hidden="1"/>
    <cellStyle name="Link" xfId="124" builtinId="8" hidden="1"/>
    <cellStyle name="Link" xfId="126" builtinId="8" hidden="1"/>
    <cellStyle name="Link" xfId="128" builtinId="8" hidden="1"/>
    <cellStyle name="Link" xfId="130" builtinId="8" hidden="1"/>
    <cellStyle name="Link" xfId="132" builtinId="8" hidden="1"/>
    <cellStyle name="Link" xfId="134" builtinId="8" hidden="1"/>
    <cellStyle name="Link" xfId="136" builtinId="8" hidden="1"/>
    <cellStyle name="Link" xfId="138" builtinId="8" hidden="1"/>
    <cellStyle name="Link" xfId="140" builtinId="8" hidden="1"/>
    <cellStyle name="Link" xfId="142" builtinId="8" hidden="1"/>
    <cellStyle name="Link" xfId="144" builtinId="8" hidden="1"/>
    <cellStyle name="Link" xfId="146" builtinId="8" hidden="1"/>
    <cellStyle name="Link" xfId="148" builtinId="8" hidden="1"/>
    <cellStyle name="Link" xfId="150" builtinId="8" hidden="1"/>
    <cellStyle name="Link" xfId="152" builtinId="8" hidden="1"/>
    <cellStyle name="Link" xfId="154" builtinId="8" hidden="1"/>
    <cellStyle name="Link" xfId="156" builtinId="8" hidden="1"/>
    <cellStyle name="Link" xfId="158" builtinId="8" hidden="1"/>
    <cellStyle name="Link" xfId="160" builtinId="8" hidden="1"/>
    <cellStyle name="Link" xfId="162" builtinId="8" hidden="1"/>
    <cellStyle name="Link" xfId="164" builtinId="8" hidden="1"/>
    <cellStyle name="Link" xfId="166" builtinId="8" hidden="1"/>
    <cellStyle name="Link" xfId="168" builtinId="8" hidden="1"/>
    <cellStyle name="Link" xfId="170" builtinId="8" hidden="1"/>
    <cellStyle name="Link" xfId="172" builtinId="8" hidden="1"/>
    <cellStyle name="Link" xfId="174" builtinId="8" hidden="1"/>
    <cellStyle name="Link" xfId="176" builtinId="8" hidden="1"/>
    <cellStyle name="Link" xfId="178" builtinId="8" hidden="1"/>
    <cellStyle name="Link" xfId="180" builtinId="8" hidden="1"/>
    <cellStyle name="Link" xfId="182" builtinId="8" hidden="1"/>
    <cellStyle name="Link" xfId="184" builtinId="8" hidden="1"/>
    <cellStyle name="Link" xfId="186" builtinId="8" hidden="1"/>
    <cellStyle name="Link" xfId="188" builtinId="8" hidden="1"/>
    <cellStyle name="Link" xfId="190" builtinId="8" hidden="1"/>
    <cellStyle name="Link" xfId="192" builtinId="8" hidden="1"/>
    <cellStyle name="Link" xfId="194" builtinId="8" hidden="1"/>
    <cellStyle name="Link" xfId="196" builtinId="8" hidden="1"/>
    <cellStyle name="Link" xfId="198" builtinId="8" hidden="1"/>
    <cellStyle name="Link" xfId="200" builtinId="8" hidden="1"/>
    <cellStyle name="Link" xfId="202" builtinId="8" hidden="1"/>
    <cellStyle name="Link" xfId="204" builtinId="8" hidden="1"/>
    <cellStyle name="Link" xfId="206" builtinId="8" hidden="1"/>
    <cellStyle name="Link" xfId="208" builtinId="8" hidden="1"/>
    <cellStyle name="Link" xfId="210" builtinId="8" hidden="1"/>
    <cellStyle name="Link" xfId="212" builtinId="8" hidden="1"/>
    <cellStyle name="Link" xfId="214" builtinId="8" hidden="1"/>
    <cellStyle name="Link" xfId="216" builtinId="8" hidden="1"/>
    <cellStyle name="Link" xfId="218" builtinId="8" hidden="1"/>
    <cellStyle name="Link" xfId="220" builtinId="8" hidden="1"/>
    <cellStyle name="Link" xfId="222" builtinId="8" hidden="1"/>
    <cellStyle name="Link" xfId="224" builtinId="8" hidden="1"/>
    <cellStyle name="Link" xfId="226" builtinId="8" hidden="1"/>
    <cellStyle name="Link" xfId="228" builtinId="8" hidden="1"/>
    <cellStyle name="Link" xfId="230" builtinId="8" hidden="1"/>
    <cellStyle name="Link" xfId="232" builtinId="8" hidden="1"/>
    <cellStyle name="Link" xfId="234" builtinId="8" hidden="1"/>
    <cellStyle name="Link" xfId="236" builtinId="8" hidden="1"/>
    <cellStyle name="Link" xfId="238" builtinId="8" hidden="1"/>
    <cellStyle name="Link" xfId="240" builtinId="8" hidden="1"/>
    <cellStyle name="Link" xfId="242" builtinId="8" hidden="1"/>
    <cellStyle name="Link" xfId="244" builtinId="8" hidden="1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31"/>
  <sheetViews>
    <sheetView zoomScale="150" zoomScaleNormal="150" zoomScalePageLayoutView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2" sqref="N2"/>
    </sheetView>
  </sheetViews>
  <sheetFormatPr baseColWidth="10" defaultRowHeight="15" x14ac:dyDescent="0"/>
  <cols>
    <col min="1" max="1" width="19" style="1" bestFit="1" customWidth="1"/>
    <col min="2" max="2" width="32.33203125" style="1" bestFit="1" customWidth="1"/>
    <col min="3" max="3" width="19.83203125" style="1" bestFit="1" customWidth="1"/>
    <col min="4" max="4" width="10.5" style="1" bestFit="1" customWidth="1"/>
    <col min="5" max="5" width="9.5" style="1" bestFit="1" customWidth="1"/>
    <col min="6" max="6" width="11.33203125" style="1" bestFit="1" customWidth="1"/>
    <col min="7" max="7" width="8.83203125" style="1" bestFit="1" customWidth="1"/>
    <col min="8" max="8" width="10.5" style="2" customWidth="1"/>
    <col min="9" max="9" width="9.83203125" style="3" bestFit="1" customWidth="1"/>
    <col min="10" max="10" width="18.33203125" style="1" bestFit="1" customWidth="1"/>
    <col min="11" max="11" width="11.1640625" style="2" customWidth="1"/>
    <col min="12" max="12" width="7" style="21" bestFit="1" customWidth="1"/>
    <col min="13" max="13" width="7.1640625" style="2" bestFit="1" customWidth="1"/>
    <col min="14" max="16" width="10.5" style="2" customWidth="1"/>
    <col min="17" max="17" width="10.5" style="3" customWidth="1"/>
    <col min="18" max="18" width="11.83203125" style="3" customWidth="1"/>
    <col min="19" max="19" width="12.6640625" style="3" customWidth="1"/>
    <col min="20" max="20" width="12" style="3" customWidth="1"/>
    <col min="21" max="16384" width="10.83203125" style="1"/>
  </cols>
  <sheetData>
    <row r="1" spans="1:20" ht="45">
      <c r="A1" s="5" t="s">
        <v>0</v>
      </c>
      <c r="B1" s="5" t="s">
        <v>2</v>
      </c>
      <c r="C1" s="5" t="s">
        <v>1</v>
      </c>
      <c r="D1" s="5" t="s">
        <v>56</v>
      </c>
      <c r="E1" s="5" t="s">
        <v>11</v>
      </c>
      <c r="F1" s="5" t="s">
        <v>12</v>
      </c>
      <c r="G1" s="5" t="s">
        <v>13</v>
      </c>
      <c r="H1" s="25" t="s">
        <v>77</v>
      </c>
      <c r="I1" s="7" t="s">
        <v>3</v>
      </c>
      <c r="J1" s="5" t="s">
        <v>51</v>
      </c>
      <c r="K1" s="8" t="s">
        <v>71</v>
      </c>
      <c r="L1" s="17" t="s">
        <v>73</v>
      </c>
      <c r="M1" s="6" t="s">
        <v>55</v>
      </c>
      <c r="N1" s="49" t="s">
        <v>165</v>
      </c>
      <c r="O1" s="49" t="s">
        <v>166</v>
      </c>
      <c r="P1" s="49" t="s">
        <v>167</v>
      </c>
      <c r="Q1" s="7" t="s">
        <v>3</v>
      </c>
      <c r="R1" s="9" t="s">
        <v>70</v>
      </c>
      <c r="S1" s="23" t="s">
        <v>74</v>
      </c>
      <c r="T1" s="55" t="s">
        <v>197</v>
      </c>
    </row>
    <row r="2" spans="1:20">
      <c r="A2" s="5" t="s">
        <v>4</v>
      </c>
      <c r="B2" s="5" t="s">
        <v>5</v>
      </c>
      <c r="C2" s="5" t="s">
        <v>6</v>
      </c>
      <c r="D2" s="5" t="s">
        <v>58</v>
      </c>
      <c r="E2" s="5" t="s">
        <v>7</v>
      </c>
      <c r="F2" s="5" t="s">
        <v>7</v>
      </c>
      <c r="G2" s="5" t="s">
        <v>14</v>
      </c>
      <c r="H2" s="6">
        <f t="shared" ref="H2:H11" si="0">L2*M2</f>
        <v>999.02</v>
      </c>
      <c r="I2" s="7"/>
      <c r="J2" s="5" t="s">
        <v>52</v>
      </c>
      <c r="K2" s="6">
        <v>45.405000000000001</v>
      </c>
      <c r="L2" s="18">
        <v>22</v>
      </c>
      <c r="M2" s="6">
        <v>45.41</v>
      </c>
      <c r="N2" s="6">
        <v>33.4</v>
      </c>
      <c r="O2" s="6">
        <f>N2</f>
        <v>33.4</v>
      </c>
      <c r="P2" s="6">
        <f t="shared" ref="P2:P11" si="1">L2*O2</f>
        <v>734.8</v>
      </c>
      <c r="Q2" s="7"/>
      <c r="R2" s="7">
        <f t="shared" ref="R2:R12" si="2">(P2-H2)/H2</f>
        <v>-0.26447918960581374</v>
      </c>
      <c r="S2" s="7"/>
      <c r="T2" s="7">
        <v>0.02</v>
      </c>
    </row>
    <row r="3" spans="1:20">
      <c r="A3" s="5" t="s">
        <v>4</v>
      </c>
      <c r="B3" s="5" t="s">
        <v>8</v>
      </c>
      <c r="C3" s="5" t="s">
        <v>9</v>
      </c>
      <c r="D3" s="5" t="s">
        <v>59</v>
      </c>
      <c r="E3" s="5" t="s">
        <v>10</v>
      </c>
      <c r="F3" s="5" t="s">
        <v>15</v>
      </c>
      <c r="G3" s="5" t="s">
        <v>16</v>
      </c>
      <c r="H3" s="6">
        <f t="shared" si="0"/>
        <v>985.6</v>
      </c>
      <c r="I3" s="7">
        <f>(H2+H3)/H12</f>
        <v>0.19926243721027365</v>
      </c>
      <c r="J3" s="5" t="s">
        <v>60</v>
      </c>
      <c r="K3" s="6">
        <v>61.6</v>
      </c>
      <c r="L3" s="18">
        <v>16</v>
      </c>
      <c r="M3" s="6">
        <v>61.6</v>
      </c>
      <c r="N3" s="6">
        <v>68.92</v>
      </c>
      <c r="O3" s="6">
        <f>N3</f>
        <v>68.92</v>
      </c>
      <c r="P3" s="6">
        <f t="shared" si="1"/>
        <v>1102.72</v>
      </c>
      <c r="Q3" s="7">
        <f>(P2+P3)/P12</f>
        <v>0.17066815741674912</v>
      </c>
      <c r="R3" s="7">
        <f t="shared" si="2"/>
        <v>0.11883116883116883</v>
      </c>
      <c r="S3" s="7"/>
      <c r="T3" s="7">
        <v>1.4999999999999999E-2</v>
      </c>
    </row>
    <row r="4" spans="1:20">
      <c r="A4" s="5" t="s">
        <v>26</v>
      </c>
      <c r="B4" s="5" t="s">
        <v>27</v>
      </c>
      <c r="C4" s="5" t="s">
        <v>28</v>
      </c>
      <c r="D4" s="5" t="s">
        <v>61</v>
      </c>
      <c r="E4" s="5" t="s">
        <v>29</v>
      </c>
      <c r="F4" s="5" t="s">
        <v>30</v>
      </c>
      <c r="G4" s="5" t="s">
        <v>31</v>
      </c>
      <c r="H4" s="6">
        <f t="shared" si="0"/>
        <v>1019.43</v>
      </c>
      <c r="I4" s="7"/>
      <c r="J4" s="5" t="s">
        <v>53</v>
      </c>
      <c r="K4" s="6">
        <v>113.27</v>
      </c>
      <c r="L4" s="18">
        <v>9</v>
      </c>
      <c r="M4" s="6">
        <f>K4</f>
        <v>113.27</v>
      </c>
      <c r="N4" s="6">
        <v>126.73</v>
      </c>
      <c r="O4" s="6">
        <f>N4</f>
        <v>126.73</v>
      </c>
      <c r="P4" s="6">
        <f t="shared" si="1"/>
        <v>1140.57</v>
      </c>
      <c r="Q4" s="7"/>
      <c r="R4" s="7">
        <f t="shared" si="2"/>
        <v>0.11883111150348724</v>
      </c>
      <c r="S4" s="7"/>
      <c r="T4" s="7">
        <v>0.01</v>
      </c>
    </row>
    <row r="5" spans="1:20">
      <c r="A5" s="5" t="s">
        <v>26</v>
      </c>
      <c r="B5" s="5" t="s">
        <v>32</v>
      </c>
      <c r="C5" s="5" t="s">
        <v>33</v>
      </c>
      <c r="D5" s="5" t="s">
        <v>57</v>
      </c>
      <c r="E5" s="5" t="s">
        <v>10</v>
      </c>
      <c r="F5" s="5" t="s">
        <v>34</v>
      </c>
      <c r="G5" s="5" t="s">
        <v>35</v>
      </c>
      <c r="H5" s="6">
        <f t="shared" si="0"/>
        <v>993.6</v>
      </c>
      <c r="I5" s="7">
        <f>(H4+H5)/H12</f>
        <v>0.20211489553536557</v>
      </c>
      <c r="J5" s="5" t="s">
        <v>54</v>
      </c>
      <c r="K5" s="6">
        <v>23.08</v>
      </c>
      <c r="L5" s="18">
        <v>40</v>
      </c>
      <c r="M5" s="6">
        <v>24.84</v>
      </c>
      <c r="N5" s="6">
        <v>23.56</v>
      </c>
      <c r="O5" s="6">
        <f>N5*B19</f>
        <v>26.064427999999999</v>
      </c>
      <c r="P5" s="6">
        <f t="shared" si="1"/>
        <v>1042.5771199999999</v>
      </c>
      <c r="Q5" s="7">
        <f>(P4+P5)/P12</f>
        <v>0.20276987262183943</v>
      </c>
      <c r="R5" s="7">
        <f t="shared" si="2"/>
        <v>4.9292592592592492E-2</v>
      </c>
      <c r="S5" s="7"/>
      <c r="T5" s="7">
        <v>0.02</v>
      </c>
    </row>
    <row r="6" spans="1:20">
      <c r="A6" s="5" t="s">
        <v>38</v>
      </c>
      <c r="B6" s="5" t="s">
        <v>39</v>
      </c>
      <c r="C6" s="5" t="s">
        <v>40</v>
      </c>
      <c r="D6" s="5" t="s">
        <v>62</v>
      </c>
      <c r="E6" s="5" t="s">
        <v>20</v>
      </c>
      <c r="F6" s="5" t="s">
        <v>41</v>
      </c>
      <c r="G6" s="5" t="s">
        <v>42</v>
      </c>
      <c r="H6" s="6">
        <f t="shared" si="0"/>
        <v>1006.08</v>
      </c>
      <c r="I6" s="7"/>
      <c r="J6" s="5" t="s">
        <v>54</v>
      </c>
      <c r="K6" s="6">
        <v>63.04</v>
      </c>
      <c r="L6" s="18">
        <v>24</v>
      </c>
      <c r="M6" s="6">
        <v>41.92</v>
      </c>
      <c r="N6" s="6">
        <v>84.4</v>
      </c>
      <c r="O6" s="6">
        <f>N6*B21</f>
        <v>55.602720000000005</v>
      </c>
      <c r="P6" s="6">
        <f t="shared" si="1"/>
        <v>1334.4652800000001</v>
      </c>
      <c r="Q6" s="7"/>
      <c r="R6" s="7">
        <f t="shared" si="2"/>
        <v>0.32640076335877871</v>
      </c>
      <c r="S6" s="7"/>
      <c r="T6" s="7">
        <v>0</v>
      </c>
    </row>
    <row r="7" spans="1:20">
      <c r="A7" s="5" t="s">
        <v>38</v>
      </c>
      <c r="B7" s="5" t="s">
        <v>43</v>
      </c>
      <c r="C7" s="5" t="s">
        <v>44</v>
      </c>
      <c r="D7" s="5" t="s">
        <v>63</v>
      </c>
      <c r="E7" s="5" t="s">
        <v>29</v>
      </c>
      <c r="F7" s="5" t="s">
        <v>45</v>
      </c>
      <c r="G7" s="5" t="s">
        <v>22</v>
      </c>
      <c r="H7" s="6">
        <f t="shared" si="0"/>
        <v>992.32</v>
      </c>
      <c r="I7" s="7">
        <f>(H6+H7)/H12</f>
        <v>0.20064599496176141</v>
      </c>
      <c r="J7" s="5" t="s">
        <v>64</v>
      </c>
      <c r="K7" s="6">
        <v>36.92</v>
      </c>
      <c r="L7" s="18">
        <v>32</v>
      </c>
      <c r="M7" s="6">
        <v>31.01</v>
      </c>
      <c r="N7" s="6">
        <v>36.5</v>
      </c>
      <c r="O7" s="6">
        <f>N7*B18</f>
        <v>32.240449999999996</v>
      </c>
      <c r="P7" s="6">
        <f t="shared" si="1"/>
        <v>1031.6943999999999</v>
      </c>
      <c r="Q7" s="7">
        <f>(P6+P7)/P12</f>
        <v>0.21976800945807645</v>
      </c>
      <c r="R7" s="7">
        <f t="shared" si="2"/>
        <v>3.9679135762657011E-2</v>
      </c>
      <c r="S7" s="7"/>
      <c r="T7" s="7">
        <v>1.7500000000000002E-2</v>
      </c>
    </row>
    <row r="8" spans="1:20">
      <c r="A8" s="5" t="s">
        <v>17</v>
      </c>
      <c r="B8" s="5" t="s">
        <v>18</v>
      </c>
      <c r="C8" s="5" t="s">
        <v>19</v>
      </c>
      <c r="D8" s="5" t="s">
        <v>65</v>
      </c>
      <c r="E8" s="5" t="s">
        <v>20</v>
      </c>
      <c r="F8" s="5" t="s">
        <v>21</v>
      </c>
      <c r="G8" s="5" t="s">
        <v>22</v>
      </c>
      <c r="H8" s="6">
        <f t="shared" si="0"/>
        <v>989.01</v>
      </c>
      <c r="I8" s="7"/>
      <c r="J8" s="5" t="s">
        <v>66</v>
      </c>
      <c r="K8" s="6">
        <v>130.87</v>
      </c>
      <c r="L8" s="18">
        <v>9</v>
      </c>
      <c r="M8" s="6">
        <v>109.89</v>
      </c>
      <c r="N8" s="6">
        <v>155.22</v>
      </c>
      <c r="O8" s="6">
        <f>N8*B18</f>
        <v>137.10582600000001</v>
      </c>
      <c r="P8" s="6">
        <f t="shared" si="1"/>
        <v>1233.952434</v>
      </c>
      <c r="Q8" s="7"/>
      <c r="R8" s="7">
        <f t="shared" si="2"/>
        <v>0.24766426426426433</v>
      </c>
      <c r="S8" s="7"/>
      <c r="T8" s="7">
        <v>1.2E-2</v>
      </c>
    </row>
    <row r="9" spans="1:20">
      <c r="A9" s="5" t="s">
        <v>17</v>
      </c>
      <c r="B9" s="5" t="s">
        <v>23</v>
      </c>
      <c r="C9" s="5" t="s">
        <v>24</v>
      </c>
      <c r="D9" s="5" t="s">
        <v>67</v>
      </c>
      <c r="E9" s="5" t="s">
        <v>20</v>
      </c>
      <c r="F9" s="5" t="s">
        <v>21</v>
      </c>
      <c r="G9" s="5" t="s">
        <v>22</v>
      </c>
      <c r="H9" s="6">
        <f t="shared" si="0"/>
        <v>1016.3699999999999</v>
      </c>
      <c r="I9" s="7">
        <f>(H8+H9)/H12</f>
        <v>0.20134681013631758</v>
      </c>
      <c r="J9" s="5" t="s">
        <v>53</v>
      </c>
      <c r="K9" s="6">
        <v>52.73</v>
      </c>
      <c r="L9" s="18">
        <v>23</v>
      </c>
      <c r="M9" s="6">
        <v>44.19</v>
      </c>
      <c r="N9" s="6">
        <v>72.75</v>
      </c>
      <c r="O9" s="6">
        <f>N9*B18</f>
        <v>64.260075000000001</v>
      </c>
      <c r="P9" s="6">
        <f t="shared" si="1"/>
        <v>1477.9817250000001</v>
      </c>
      <c r="Q9" s="7">
        <f>(P8+P9)/P12</f>
        <v>0.25188341131093606</v>
      </c>
      <c r="R9" s="7">
        <f t="shared" si="2"/>
        <v>0.4541768499660559</v>
      </c>
      <c r="S9" s="7"/>
      <c r="T9" s="7">
        <v>1.4999999999999999E-2</v>
      </c>
    </row>
    <row r="10" spans="1:20">
      <c r="A10" s="5" t="s">
        <v>25</v>
      </c>
      <c r="B10" s="5" t="s">
        <v>36</v>
      </c>
      <c r="C10" s="5" t="s">
        <v>37</v>
      </c>
      <c r="D10" s="5" t="s">
        <v>68</v>
      </c>
      <c r="E10" s="5" t="s">
        <v>20</v>
      </c>
      <c r="F10" s="5" t="s">
        <v>21</v>
      </c>
      <c r="G10" s="5" t="s">
        <v>22</v>
      </c>
      <c r="H10" s="6">
        <f t="shared" si="0"/>
        <v>966.06000000000006</v>
      </c>
      <c r="I10" s="7">
        <f>H10/H12</f>
        <v>9.6995631451540845E-2</v>
      </c>
      <c r="J10" s="5" t="s">
        <v>53</v>
      </c>
      <c r="K10" s="6">
        <v>63.94</v>
      </c>
      <c r="L10" s="18">
        <v>18</v>
      </c>
      <c r="M10" s="6">
        <v>53.67</v>
      </c>
      <c r="N10" s="6">
        <v>53.69</v>
      </c>
      <c r="O10" s="6">
        <f>N10*B18</f>
        <v>47.424377</v>
      </c>
      <c r="P10" s="6">
        <f t="shared" si="1"/>
        <v>853.63878599999998</v>
      </c>
      <c r="Q10" s="7">
        <f>P10/P12</f>
        <v>7.9285645166360427E-2</v>
      </c>
      <c r="R10" s="7">
        <f t="shared" si="2"/>
        <v>-0.11637084032047706</v>
      </c>
      <c r="S10" s="7"/>
      <c r="T10" s="7">
        <v>0.04</v>
      </c>
    </row>
    <row r="11" spans="1:20">
      <c r="A11" s="5" t="s">
        <v>46</v>
      </c>
      <c r="B11" s="5" t="s">
        <v>47</v>
      </c>
      <c r="C11" s="5" t="s">
        <v>48</v>
      </c>
      <c r="D11" s="5" t="s">
        <v>69</v>
      </c>
      <c r="E11" s="5" t="s">
        <v>10</v>
      </c>
      <c r="F11" s="5" t="s">
        <v>49</v>
      </c>
      <c r="G11" s="5" t="s">
        <v>50</v>
      </c>
      <c r="H11" s="6">
        <f t="shared" si="0"/>
        <v>992.34</v>
      </c>
      <c r="I11" s="7">
        <f>H11/H12</f>
        <v>9.963423070474095E-2</v>
      </c>
      <c r="J11" s="5" t="s">
        <v>53</v>
      </c>
      <c r="K11" s="6">
        <v>256.14999999999998</v>
      </c>
      <c r="L11" s="18">
        <v>37</v>
      </c>
      <c r="M11" s="6">
        <v>26.82</v>
      </c>
      <c r="N11" s="6">
        <v>226.4</v>
      </c>
      <c r="O11" s="6">
        <f>N11*B22</f>
        <v>22.006080000000001</v>
      </c>
      <c r="P11" s="6">
        <f t="shared" si="1"/>
        <v>814.22496000000001</v>
      </c>
      <c r="Q11" s="7">
        <f>P11/P12</f>
        <v>7.5624904026038497E-2</v>
      </c>
      <c r="R11" s="7">
        <f t="shared" si="2"/>
        <v>-0.17948993288590606</v>
      </c>
      <c r="S11" s="7"/>
      <c r="T11" s="7">
        <v>2.5999999999999999E-2</v>
      </c>
    </row>
    <row r="12" spans="1:20" s="4" customFormat="1">
      <c r="A12" s="10"/>
      <c r="B12" s="10"/>
      <c r="C12" s="10"/>
      <c r="D12" s="10"/>
      <c r="E12" s="10"/>
      <c r="F12" s="10"/>
      <c r="G12" s="10"/>
      <c r="H12" s="11">
        <f>SUM(H2:H11)</f>
        <v>9959.83</v>
      </c>
      <c r="I12" s="12">
        <f>SUM(I2:I11)</f>
        <v>1</v>
      </c>
      <c r="J12" s="10"/>
      <c r="K12" s="11"/>
      <c r="L12" s="19"/>
      <c r="M12" s="11"/>
      <c r="N12" s="11"/>
      <c r="O12" s="11"/>
      <c r="P12" s="11">
        <f>SUM(P2:P11)</f>
        <v>10766.624705</v>
      </c>
      <c r="Q12" s="12"/>
      <c r="R12" s="12">
        <f t="shared" si="2"/>
        <v>8.100486705094366E-2</v>
      </c>
      <c r="S12" s="12"/>
      <c r="T12" s="12">
        <f>AVERAGE(T2:T11)</f>
        <v>1.755E-2</v>
      </c>
    </row>
    <row r="13" spans="1:20">
      <c r="S13" s="65">
        <v>9.3799999999999994E-2</v>
      </c>
    </row>
    <row r="14" spans="1:20">
      <c r="A14" s="13" t="s">
        <v>72</v>
      </c>
      <c r="B14" s="14"/>
      <c r="C14" s="14"/>
      <c r="D14" s="14"/>
      <c r="E14" s="14"/>
      <c r="F14" s="14"/>
      <c r="G14" s="14"/>
      <c r="H14" s="15"/>
      <c r="I14" s="16"/>
      <c r="J14" s="27" t="s">
        <v>76</v>
      </c>
      <c r="K14" s="15">
        <v>1947.53</v>
      </c>
      <c r="L14" s="20"/>
      <c r="M14" s="15"/>
      <c r="N14" s="15">
        <v>1952.83</v>
      </c>
      <c r="O14" s="15"/>
      <c r="P14" s="15"/>
      <c r="Q14" s="16"/>
      <c r="R14" s="16">
        <f>(N14-K14)/K14</f>
        <v>2.721395819319833E-3</v>
      </c>
      <c r="S14" s="16"/>
    </row>
    <row r="17" spans="1:3">
      <c r="A17" s="35" t="s">
        <v>117</v>
      </c>
      <c r="B17" s="50" t="s">
        <v>194</v>
      </c>
    </row>
    <row r="18" spans="1:3">
      <c r="A18" s="35" t="s">
        <v>22</v>
      </c>
      <c r="B18" s="35">
        <v>0.88329999999999997</v>
      </c>
    </row>
    <row r="19" spans="1:3">
      <c r="A19" s="35" t="s">
        <v>151</v>
      </c>
      <c r="B19" s="1">
        <v>1.1063000000000001</v>
      </c>
    </row>
    <row r="20" spans="1:3">
      <c r="A20" s="35" t="s">
        <v>31</v>
      </c>
      <c r="B20" s="35">
        <v>7.7000000000000002E-3</v>
      </c>
    </row>
    <row r="21" spans="1:3">
      <c r="A21" s="35" t="s">
        <v>42</v>
      </c>
      <c r="B21" s="1">
        <v>0.65880000000000005</v>
      </c>
    </row>
    <row r="22" spans="1:3">
      <c r="A22" s="35" t="s">
        <v>50</v>
      </c>
      <c r="B22" s="35">
        <v>9.7199999999999995E-2</v>
      </c>
    </row>
    <row r="25" spans="1:3">
      <c r="A25" s="50" t="s">
        <v>168</v>
      </c>
      <c r="B25" s="51">
        <v>43445</v>
      </c>
      <c r="C25" s="58" t="s">
        <v>293</v>
      </c>
    </row>
    <row r="26" spans="1:3">
      <c r="A26" s="50" t="s">
        <v>169</v>
      </c>
      <c r="B26" s="2">
        <v>1.25</v>
      </c>
    </row>
    <row r="29" spans="1:3">
      <c r="A29" s="50" t="s">
        <v>195</v>
      </c>
    </row>
    <row r="30" spans="1:3">
      <c r="A30" s="50" t="s">
        <v>196</v>
      </c>
      <c r="B30" s="54">
        <v>1.2</v>
      </c>
    </row>
    <row r="31" spans="1:3">
      <c r="A31" s="50"/>
    </row>
  </sheetData>
  <phoneticPr fontId="20" type="noConversion"/>
  <pageMargins left="0.5" right="0.5" top="0.79000000000000015" bottom="0.79000000000000015" header="0.30000000000000004" footer="0.30000000000000004"/>
  <pageSetup paperSize="9" scale="67" orientation="landscape"/>
  <headerFooter>
    <oddHeader>&amp;C&amp;"Calibri,Standard"&amp;K000000Musterdepot per 30.08.2017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23"/>
  <sheetViews>
    <sheetView zoomScale="150" zoomScaleNormal="150" zoomScalePageLayoutView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2" sqref="N2"/>
    </sheetView>
  </sheetViews>
  <sheetFormatPr baseColWidth="10" defaultRowHeight="15" x14ac:dyDescent="0"/>
  <cols>
    <col min="1" max="1" width="19" style="35" bestFit="1" customWidth="1"/>
    <col min="2" max="2" width="37.5" style="35" customWidth="1"/>
    <col min="3" max="3" width="19.83203125" style="35" bestFit="1" customWidth="1"/>
    <col min="4" max="4" width="12.33203125" style="35" bestFit="1" customWidth="1"/>
    <col min="5" max="5" width="9.5" style="35" bestFit="1" customWidth="1"/>
    <col min="6" max="6" width="11.33203125" style="35" bestFit="1" customWidth="1"/>
    <col min="7" max="7" width="8.83203125" style="35" bestFit="1" customWidth="1"/>
    <col min="8" max="8" width="10.33203125" style="44" customWidth="1"/>
    <col min="9" max="9" width="9.83203125" style="45" bestFit="1" customWidth="1"/>
    <col min="10" max="10" width="18.33203125" style="35" bestFit="1" customWidth="1"/>
    <col min="11" max="11" width="11.1640625" style="44" customWidth="1"/>
    <col min="12" max="12" width="7" style="46" bestFit="1" customWidth="1"/>
    <col min="13" max="13" width="8.33203125" style="44" bestFit="1" customWidth="1"/>
    <col min="14" max="16" width="10.5" style="44" customWidth="1"/>
    <col min="17" max="17" width="10.5" style="45" customWidth="1"/>
    <col min="18" max="18" width="18.33203125" style="44" bestFit="1" customWidth="1"/>
    <col min="19" max="19" width="11.83203125" style="45" customWidth="1"/>
    <col min="20" max="20" width="12.6640625" style="45" customWidth="1"/>
    <col min="21" max="16384" width="10.83203125" style="35"/>
  </cols>
  <sheetData>
    <row r="1" spans="1:20" ht="30">
      <c r="A1" s="29" t="s">
        <v>0</v>
      </c>
      <c r="B1" s="29" t="s">
        <v>2</v>
      </c>
      <c r="C1" s="29" t="s">
        <v>1</v>
      </c>
      <c r="D1" s="29" t="s">
        <v>56</v>
      </c>
      <c r="E1" s="29" t="s">
        <v>11</v>
      </c>
      <c r="F1" s="29" t="s">
        <v>12</v>
      </c>
      <c r="G1" s="29" t="s">
        <v>13</v>
      </c>
      <c r="H1" s="30" t="s">
        <v>78</v>
      </c>
      <c r="I1" s="31" t="s">
        <v>3</v>
      </c>
      <c r="J1" s="29" t="s">
        <v>51</v>
      </c>
      <c r="K1" s="30" t="s">
        <v>71</v>
      </c>
      <c r="L1" s="32" t="s">
        <v>73</v>
      </c>
      <c r="M1" s="33" t="s">
        <v>55</v>
      </c>
      <c r="N1" s="49" t="s">
        <v>165</v>
      </c>
      <c r="O1" s="49" t="s">
        <v>166</v>
      </c>
      <c r="P1" s="49" t="s">
        <v>167</v>
      </c>
      <c r="Q1" s="31" t="s">
        <v>3</v>
      </c>
      <c r="R1" s="29" t="s">
        <v>51</v>
      </c>
      <c r="S1" s="34" t="s">
        <v>70</v>
      </c>
      <c r="T1" s="34" t="s">
        <v>74</v>
      </c>
    </row>
    <row r="2" spans="1:20">
      <c r="A2" s="29" t="s">
        <v>4</v>
      </c>
      <c r="B2" s="29" t="s">
        <v>79</v>
      </c>
      <c r="C2" s="29" t="s">
        <v>80</v>
      </c>
      <c r="D2" s="29" t="s">
        <v>81</v>
      </c>
      <c r="E2" s="29" t="s">
        <v>10</v>
      </c>
      <c r="F2" s="29" t="s">
        <v>82</v>
      </c>
      <c r="G2" s="29" t="s">
        <v>83</v>
      </c>
      <c r="H2" s="33">
        <f t="shared" ref="H2:H11" si="0">L2*M2</f>
        <v>1011.2641000000001</v>
      </c>
      <c r="I2" s="31"/>
      <c r="J2" s="29" t="s">
        <v>52</v>
      </c>
      <c r="K2" s="33">
        <v>538.25</v>
      </c>
      <c r="L2" s="36">
        <v>14</v>
      </c>
      <c r="M2" s="33">
        <f>K2*0.1342</f>
        <v>72.233150000000009</v>
      </c>
      <c r="N2" s="33">
        <v>624.79999999999995</v>
      </c>
      <c r="O2" s="33">
        <f>N2*B19</f>
        <v>83.59823999999999</v>
      </c>
      <c r="P2" s="33">
        <f t="shared" ref="P2:P11" si="1">L2*O2</f>
        <v>1170.3753599999998</v>
      </c>
      <c r="Q2" s="31"/>
      <c r="R2" s="29"/>
      <c r="S2" s="31">
        <f t="shared" ref="S2:S12" si="2">(P2-H2)/H2</f>
        <v>0.15733897801771038</v>
      </c>
      <c r="T2" s="31"/>
    </row>
    <row r="3" spans="1:20">
      <c r="A3" s="29" t="s">
        <v>4</v>
      </c>
      <c r="B3" s="29" t="s">
        <v>79</v>
      </c>
      <c r="C3" s="37" t="s">
        <v>84</v>
      </c>
      <c r="D3" s="29" t="s">
        <v>85</v>
      </c>
      <c r="E3" s="29" t="s">
        <v>10</v>
      </c>
      <c r="F3" s="29" t="s">
        <v>15</v>
      </c>
      <c r="G3" s="29" t="s">
        <v>16</v>
      </c>
      <c r="H3" s="33">
        <f t="shared" si="0"/>
        <v>833.00199999999995</v>
      </c>
      <c r="I3" s="31">
        <f>(H2+H3)/H12</f>
        <v>0.18956946133798738</v>
      </c>
      <c r="J3" s="29" t="s">
        <v>54</v>
      </c>
      <c r="K3" s="33">
        <v>416.50099999999998</v>
      </c>
      <c r="L3" s="36">
        <v>2</v>
      </c>
      <c r="M3" s="33">
        <f>K3</f>
        <v>416.50099999999998</v>
      </c>
      <c r="N3" s="33">
        <v>304</v>
      </c>
      <c r="O3" s="33">
        <f>N3</f>
        <v>304</v>
      </c>
      <c r="P3" s="33">
        <f t="shared" si="1"/>
        <v>608</v>
      </c>
      <c r="Q3" s="31">
        <f>(P2+P3)/P12</f>
        <v>0.16245291856855065</v>
      </c>
      <c r="R3" s="33"/>
      <c r="S3" s="31">
        <f t="shared" si="2"/>
        <v>-0.27010979565475229</v>
      </c>
      <c r="T3" s="31"/>
    </row>
    <row r="4" spans="1:20">
      <c r="A4" s="29" t="s">
        <v>26</v>
      </c>
      <c r="B4" s="29" t="s">
        <v>86</v>
      </c>
      <c r="C4" s="37" t="s">
        <v>87</v>
      </c>
      <c r="D4" s="29" t="s">
        <v>88</v>
      </c>
      <c r="E4" s="29" t="s">
        <v>10</v>
      </c>
      <c r="F4" s="29" t="s">
        <v>89</v>
      </c>
      <c r="G4" s="29" t="s">
        <v>90</v>
      </c>
      <c r="H4" s="33">
        <f t="shared" si="0"/>
        <v>1204.6383600000001</v>
      </c>
      <c r="I4" s="31"/>
      <c r="J4" s="29" t="s">
        <v>91</v>
      </c>
      <c r="K4" s="33">
        <v>460.7</v>
      </c>
      <c r="L4" s="36">
        <v>3</v>
      </c>
      <c r="M4" s="33">
        <f>K4*0.8716</f>
        <v>401.54612000000003</v>
      </c>
      <c r="N4" s="33">
        <v>380.5</v>
      </c>
      <c r="O4" s="33">
        <f>N4*B18</f>
        <v>338.2645</v>
      </c>
      <c r="P4" s="33">
        <f t="shared" si="1"/>
        <v>1014.7935</v>
      </c>
      <c r="Q4" s="31"/>
      <c r="R4" s="33"/>
      <c r="S4" s="31">
        <f t="shared" si="2"/>
        <v>-0.1575948984390636</v>
      </c>
      <c r="T4" s="31"/>
    </row>
    <row r="5" spans="1:20">
      <c r="A5" s="29" t="s">
        <v>26</v>
      </c>
      <c r="B5" s="38" t="s">
        <v>92</v>
      </c>
      <c r="C5" s="37" t="s">
        <v>93</v>
      </c>
      <c r="D5" s="29" t="s">
        <v>94</v>
      </c>
      <c r="E5" s="29" t="s">
        <v>29</v>
      </c>
      <c r="F5" s="29" t="s">
        <v>95</v>
      </c>
      <c r="G5" s="29" t="s">
        <v>16</v>
      </c>
      <c r="H5" s="33">
        <f t="shared" si="0"/>
        <v>972.774</v>
      </c>
      <c r="I5" s="31"/>
      <c r="J5" s="29" t="s">
        <v>66</v>
      </c>
      <c r="K5" s="33">
        <v>54.042999999999999</v>
      </c>
      <c r="L5" s="36">
        <v>18</v>
      </c>
      <c r="M5" s="33">
        <f>K5</f>
        <v>54.042999999999999</v>
      </c>
      <c r="N5" s="33">
        <v>54.34</v>
      </c>
      <c r="O5" s="33">
        <f>N5</f>
        <v>54.34</v>
      </c>
      <c r="P5" s="33">
        <f t="shared" si="1"/>
        <v>978.12000000000012</v>
      </c>
      <c r="Q5" s="31"/>
      <c r="R5" s="33"/>
      <c r="S5" s="31">
        <f t="shared" si="2"/>
        <v>5.4956238550784844E-3</v>
      </c>
      <c r="T5" s="31"/>
    </row>
    <row r="6" spans="1:20">
      <c r="A6" s="29" t="s">
        <v>26</v>
      </c>
      <c r="B6" s="38" t="s">
        <v>96</v>
      </c>
      <c r="C6" s="37" t="s">
        <v>97</v>
      </c>
      <c r="D6" s="29" t="s">
        <v>98</v>
      </c>
      <c r="E6" s="29" t="s">
        <v>20</v>
      </c>
      <c r="F6" s="29" t="s">
        <v>21</v>
      </c>
      <c r="G6" s="29" t="s">
        <v>22</v>
      </c>
      <c r="H6" s="33">
        <f t="shared" si="0"/>
        <v>893.77344000000016</v>
      </c>
      <c r="I6" s="31">
        <f>(H4+H5+H6)/H12</f>
        <v>0.3156827736381837</v>
      </c>
      <c r="J6" s="29" t="s">
        <v>66</v>
      </c>
      <c r="K6" s="33">
        <v>262.72000000000003</v>
      </c>
      <c r="L6" s="36">
        <v>4</v>
      </c>
      <c r="M6" s="33">
        <f>K6*0.8505</f>
        <v>223.44336000000004</v>
      </c>
      <c r="N6" s="33">
        <v>345.73</v>
      </c>
      <c r="O6" s="33">
        <f>N6*B17</f>
        <v>305.383309</v>
      </c>
      <c r="P6" s="33">
        <f t="shared" si="1"/>
        <v>1221.533236</v>
      </c>
      <c r="Q6" s="31">
        <f>(P4+P5+P6)/P12</f>
        <v>0.29363668975167956</v>
      </c>
      <c r="R6" s="33"/>
      <c r="S6" s="31">
        <f t="shared" si="2"/>
        <v>0.36671462960456708</v>
      </c>
      <c r="T6" s="31"/>
    </row>
    <row r="7" spans="1:20">
      <c r="A7" s="29" t="s">
        <v>17</v>
      </c>
      <c r="B7" s="29" t="s">
        <v>99</v>
      </c>
      <c r="C7" s="37" t="s">
        <v>100</v>
      </c>
      <c r="D7" s="29" t="s">
        <v>101</v>
      </c>
      <c r="E7" s="29" t="s">
        <v>20</v>
      </c>
      <c r="F7" s="29" t="s">
        <v>21</v>
      </c>
      <c r="G7" s="29" t="s">
        <v>22</v>
      </c>
      <c r="H7" s="33">
        <f t="shared" si="0"/>
        <v>821.75310000000002</v>
      </c>
      <c r="I7" s="31"/>
      <c r="J7" s="29" t="s">
        <v>75</v>
      </c>
      <c r="K7" s="33">
        <v>966.2</v>
      </c>
      <c r="L7" s="36">
        <v>1</v>
      </c>
      <c r="M7" s="33">
        <f>K7*0.8505</f>
        <v>821.75310000000002</v>
      </c>
      <c r="N7" s="33">
        <v>1627.74</v>
      </c>
      <c r="O7" s="33">
        <f>N7*B17</f>
        <v>1437.7827419999999</v>
      </c>
      <c r="P7" s="33">
        <f t="shared" si="1"/>
        <v>1437.7827419999999</v>
      </c>
      <c r="Q7" s="31"/>
      <c r="R7" s="33"/>
      <c r="S7" s="31">
        <f t="shared" si="2"/>
        <v>0.74965295780447905</v>
      </c>
      <c r="T7" s="31"/>
    </row>
    <row r="8" spans="1:20">
      <c r="A8" s="29" t="s">
        <v>17</v>
      </c>
      <c r="B8" s="29" t="s">
        <v>102</v>
      </c>
      <c r="C8" s="37" t="s">
        <v>103</v>
      </c>
      <c r="D8" s="29" t="s">
        <v>104</v>
      </c>
      <c r="E8" s="29" t="s">
        <v>20</v>
      </c>
      <c r="F8" s="29" t="s">
        <v>21</v>
      </c>
      <c r="G8" s="29" t="s">
        <v>22</v>
      </c>
      <c r="H8" s="33">
        <f t="shared" si="0"/>
        <v>1012.307625</v>
      </c>
      <c r="I8" s="31">
        <f>(H7+H8)/H12</f>
        <v>0.18852046551167895</v>
      </c>
      <c r="J8" s="29" t="s">
        <v>54</v>
      </c>
      <c r="K8" s="33">
        <v>47.61</v>
      </c>
      <c r="L8" s="36">
        <v>25</v>
      </c>
      <c r="M8" s="33">
        <f>K8*0.8505</f>
        <v>40.492305000000002</v>
      </c>
      <c r="N8" s="33">
        <v>67.77</v>
      </c>
      <c r="O8" s="33">
        <f>N8*B17</f>
        <v>59.861240999999993</v>
      </c>
      <c r="P8" s="33">
        <f t="shared" si="1"/>
        <v>1496.5310249999998</v>
      </c>
      <c r="Q8" s="31">
        <f>(P7+P8)/P12</f>
        <v>0.26804680618439752</v>
      </c>
      <c r="R8" s="33"/>
      <c r="S8" s="31">
        <f t="shared" si="2"/>
        <v>0.47833621721460384</v>
      </c>
      <c r="T8" s="31"/>
    </row>
    <row r="9" spans="1:20">
      <c r="A9" s="29" t="s">
        <v>38</v>
      </c>
      <c r="B9" s="38" t="s">
        <v>105</v>
      </c>
      <c r="C9" s="37" t="s">
        <v>106</v>
      </c>
      <c r="D9" s="29" t="s">
        <v>107</v>
      </c>
      <c r="E9" s="29" t="s">
        <v>29</v>
      </c>
      <c r="F9" s="29" t="s">
        <v>108</v>
      </c>
      <c r="G9" s="29" t="s">
        <v>22</v>
      </c>
      <c r="H9" s="33">
        <f t="shared" si="0"/>
        <v>921.2956200000001</v>
      </c>
      <c r="I9" s="31">
        <f>(H9)/H12</f>
        <v>9.4698652443075945E-2</v>
      </c>
      <c r="J9" s="29" t="s">
        <v>54</v>
      </c>
      <c r="K9" s="33">
        <v>270.81</v>
      </c>
      <c r="L9" s="36">
        <v>4</v>
      </c>
      <c r="M9" s="33">
        <f>K9*0.8505</f>
        <v>230.32390500000002</v>
      </c>
      <c r="N9" s="33">
        <v>237.51</v>
      </c>
      <c r="O9" s="33">
        <f>N9*B17</f>
        <v>209.79258299999998</v>
      </c>
      <c r="P9" s="33">
        <f t="shared" si="1"/>
        <v>839.17033199999992</v>
      </c>
      <c r="Q9" s="31">
        <f>(P9)/P12</f>
        <v>7.6657421529693043E-2</v>
      </c>
      <c r="R9" s="33"/>
      <c r="S9" s="31">
        <f t="shared" si="2"/>
        <v>-8.9141081556428303E-2</v>
      </c>
      <c r="T9" s="31"/>
    </row>
    <row r="10" spans="1:20">
      <c r="A10" s="29" t="s">
        <v>46</v>
      </c>
      <c r="B10" s="29" t="s">
        <v>109</v>
      </c>
      <c r="C10" s="37" t="s">
        <v>110</v>
      </c>
      <c r="D10" s="29" t="s">
        <v>111</v>
      </c>
      <c r="E10" s="29" t="s">
        <v>10</v>
      </c>
      <c r="F10" s="29" t="s">
        <v>112</v>
      </c>
      <c r="G10" s="29" t="s">
        <v>16</v>
      </c>
      <c r="H10" s="33">
        <f t="shared" si="0"/>
        <v>1057.5</v>
      </c>
      <c r="I10" s="31">
        <f>(H10)/H12</f>
        <v>0.10869890487328356</v>
      </c>
      <c r="J10" s="29" t="s">
        <v>54</v>
      </c>
      <c r="K10" s="33">
        <v>105.75</v>
      </c>
      <c r="L10" s="36">
        <v>10</v>
      </c>
      <c r="M10" s="33">
        <f>K10</f>
        <v>105.75</v>
      </c>
      <c r="N10" s="33">
        <v>89.22</v>
      </c>
      <c r="O10" s="33">
        <f>N10</f>
        <v>89.22</v>
      </c>
      <c r="P10" s="33">
        <f t="shared" si="1"/>
        <v>892.2</v>
      </c>
      <c r="Q10" s="31">
        <f>(P10)/P12</f>
        <v>8.1501631886566922E-2</v>
      </c>
      <c r="R10" s="33"/>
      <c r="S10" s="31">
        <f t="shared" si="2"/>
        <v>-0.15631205673758861</v>
      </c>
      <c r="T10" s="31"/>
    </row>
    <row r="11" spans="1:20" ht="28">
      <c r="A11" s="29" t="s">
        <v>113</v>
      </c>
      <c r="B11" s="39" t="s">
        <v>114</v>
      </c>
      <c r="C11" s="37" t="s">
        <v>115</v>
      </c>
      <c r="D11" s="29" t="s">
        <v>116</v>
      </c>
      <c r="E11" s="29" t="s">
        <v>20</v>
      </c>
      <c r="F11" s="29" t="s">
        <v>21</v>
      </c>
      <c r="G11" s="29" t="s">
        <v>22</v>
      </c>
      <c r="H11" s="33">
        <f t="shared" si="0"/>
        <v>1000.400625</v>
      </c>
      <c r="I11" s="31">
        <f>(H11)/H12</f>
        <v>0.10282974219579047</v>
      </c>
      <c r="J11" s="29" t="s">
        <v>54</v>
      </c>
      <c r="K11" s="33">
        <v>47.05</v>
      </c>
      <c r="L11" s="36">
        <v>25</v>
      </c>
      <c r="M11" s="33">
        <f>K11*0.8505</f>
        <v>40.016024999999999</v>
      </c>
      <c r="N11" s="33">
        <v>58.35</v>
      </c>
      <c r="O11" s="33">
        <f>N11*B17</f>
        <v>51.540554999999998</v>
      </c>
      <c r="P11" s="33">
        <f t="shared" si="1"/>
        <v>1288.5138749999999</v>
      </c>
      <c r="Q11" s="31">
        <f>(P11)/P12</f>
        <v>0.11770453207911218</v>
      </c>
      <c r="R11" s="33"/>
      <c r="S11" s="31">
        <f t="shared" si="2"/>
        <v>0.28799787085298939</v>
      </c>
      <c r="T11" s="31"/>
    </row>
    <row r="12" spans="1:20" s="4" customFormat="1">
      <c r="A12" s="10"/>
      <c r="B12" s="10"/>
      <c r="C12" s="10"/>
      <c r="D12" s="10"/>
      <c r="E12" s="10"/>
      <c r="F12" s="10"/>
      <c r="G12" s="10"/>
      <c r="H12" s="11">
        <f>SUM(H2:H11)</f>
        <v>9728.7088700000004</v>
      </c>
      <c r="I12" s="12">
        <f>SUM(I2:I11)</f>
        <v>1</v>
      </c>
      <c r="J12" s="10"/>
      <c r="K12" s="11"/>
      <c r="L12" s="19"/>
      <c r="M12" s="11"/>
      <c r="N12" s="11"/>
      <c r="O12" s="11"/>
      <c r="P12" s="11">
        <f>SUM(P2:P11)</f>
        <v>10947.02007</v>
      </c>
      <c r="Q12" s="12">
        <f>SUM(Q2:Q11)</f>
        <v>0.99999999999999978</v>
      </c>
      <c r="R12" s="11"/>
      <c r="S12" s="12">
        <f t="shared" si="2"/>
        <v>0.12522845695967466</v>
      </c>
      <c r="T12" s="12"/>
    </row>
    <row r="14" spans="1:20">
      <c r="A14" s="40" t="s">
        <v>72</v>
      </c>
      <c r="B14" s="40"/>
      <c r="C14" s="40"/>
      <c r="D14" s="40"/>
      <c r="E14" s="40"/>
      <c r="F14" s="40"/>
      <c r="G14" s="40"/>
      <c r="H14" s="41"/>
      <c r="I14" s="42"/>
      <c r="J14" s="40" t="s">
        <v>64</v>
      </c>
      <c r="K14" s="41">
        <v>2010.9459999999999</v>
      </c>
      <c r="L14" s="43"/>
      <c r="M14" s="41"/>
      <c r="N14" s="41">
        <f>'170830_langfr_Geldanlage'!N14</f>
        <v>1952.83</v>
      </c>
      <c r="O14" s="41"/>
      <c r="P14" s="41"/>
      <c r="Q14" s="42"/>
      <c r="R14" s="41" t="s">
        <v>64</v>
      </c>
      <c r="S14" s="42">
        <f>(N14-K14)/K14</f>
        <v>-2.8899831223712615E-2</v>
      </c>
      <c r="T14" s="42"/>
    </row>
    <row r="16" spans="1:20">
      <c r="A16" s="35" t="s">
        <v>117</v>
      </c>
    </row>
    <row r="17" spans="1:3">
      <c r="A17" s="35" t="s">
        <v>22</v>
      </c>
      <c r="B17" s="35">
        <f>'170830_langfr_Geldanlage'!B18</f>
        <v>0.88329999999999997</v>
      </c>
    </row>
    <row r="18" spans="1:3">
      <c r="A18" s="35" t="s">
        <v>90</v>
      </c>
      <c r="B18" s="35">
        <v>0.88900000000000001</v>
      </c>
    </row>
    <row r="19" spans="1:3">
      <c r="A19" s="35" t="s">
        <v>83</v>
      </c>
      <c r="B19" s="35">
        <v>0.1338</v>
      </c>
    </row>
    <row r="22" spans="1:3">
      <c r="A22" s="50" t="s">
        <v>168</v>
      </c>
      <c r="B22" s="51">
        <f>'170830_langfr_Geldanlage'!B25</f>
        <v>43445</v>
      </c>
      <c r="C22" s="58" t="str">
        <f>'170830_langfr_Geldanlage'!C25</f>
        <v>zwischen 20:15 und 20:30 Uhr</v>
      </c>
    </row>
    <row r="23" spans="1:3">
      <c r="A23" s="50" t="s">
        <v>169</v>
      </c>
      <c r="B23" s="44">
        <v>1.17</v>
      </c>
    </row>
  </sheetData>
  <phoneticPr fontId="20" type="noConversion"/>
  <pageMargins left="0.5" right="0.5" top="0.79000000000000015" bottom="0.79000000000000015" header="0.30000000000000004" footer="0.30000000000000004"/>
  <pageSetup paperSize="9" scale="47" orientation="landscape"/>
  <headerFooter>
    <oddHeader>&amp;C&amp;"Calibri,Standard"&amp;K000000Musterdepot per 04.10.2017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22"/>
  <sheetViews>
    <sheetView zoomScale="150" zoomScaleNormal="150" zoomScalePageLayoutView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5" sqref="N5"/>
    </sheetView>
  </sheetViews>
  <sheetFormatPr baseColWidth="10" defaultRowHeight="15" x14ac:dyDescent="0"/>
  <cols>
    <col min="1" max="1" width="19" style="35" bestFit="1" customWidth="1"/>
    <col min="2" max="2" width="37.5" style="35" customWidth="1"/>
    <col min="3" max="3" width="19.83203125" style="35" bestFit="1" customWidth="1"/>
    <col min="4" max="4" width="12.33203125" style="35" bestFit="1" customWidth="1"/>
    <col min="5" max="5" width="9.5" style="35" bestFit="1" customWidth="1"/>
    <col min="6" max="6" width="11.33203125" style="35" bestFit="1" customWidth="1"/>
    <col min="7" max="7" width="8.83203125" style="35" bestFit="1" customWidth="1"/>
    <col min="8" max="8" width="9.33203125" style="44" bestFit="1" customWidth="1"/>
    <col min="9" max="9" width="9.83203125" style="45" bestFit="1" customWidth="1"/>
    <col min="10" max="10" width="18.33203125" style="35" bestFit="1" customWidth="1"/>
    <col min="11" max="11" width="11.1640625" style="44" customWidth="1"/>
    <col min="12" max="12" width="7" style="46" bestFit="1" customWidth="1"/>
    <col min="13" max="13" width="8.33203125" style="44" bestFit="1" customWidth="1"/>
    <col min="14" max="16" width="10.5" style="44" customWidth="1"/>
    <col min="17" max="17" width="10.5" style="45" customWidth="1"/>
    <col min="18" max="18" width="18.33203125" style="44" bestFit="1" customWidth="1"/>
    <col min="19" max="19" width="11.83203125" style="45" customWidth="1"/>
    <col min="20" max="20" width="12.6640625" style="45" customWidth="1"/>
    <col min="21" max="16384" width="10.83203125" style="35"/>
  </cols>
  <sheetData>
    <row r="1" spans="1:20" ht="30">
      <c r="A1" s="29" t="s">
        <v>0</v>
      </c>
      <c r="B1" s="29" t="s">
        <v>2</v>
      </c>
      <c r="C1" s="29" t="s">
        <v>1</v>
      </c>
      <c r="D1" s="29" t="s">
        <v>56</v>
      </c>
      <c r="E1" s="29" t="s">
        <v>11</v>
      </c>
      <c r="F1" s="29" t="s">
        <v>12</v>
      </c>
      <c r="G1" s="29" t="s">
        <v>13</v>
      </c>
      <c r="H1" s="33" t="s">
        <v>118</v>
      </c>
      <c r="I1" s="31" t="s">
        <v>3</v>
      </c>
      <c r="J1" s="29" t="s">
        <v>51</v>
      </c>
      <c r="K1" s="30" t="s">
        <v>71</v>
      </c>
      <c r="L1" s="32" t="s">
        <v>73</v>
      </c>
      <c r="M1" s="33" t="s">
        <v>55</v>
      </c>
      <c r="N1" s="49" t="s">
        <v>165</v>
      </c>
      <c r="O1" s="49" t="s">
        <v>166</v>
      </c>
      <c r="P1" s="49" t="s">
        <v>167</v>
      </c>
      <c r="Q1" s="31" t="s">
        <v>3</v>
      </c>
      <c r="R1" s="29" t="s">
        <v>51</v>
      </c>
      <c r="S1" s="34" t="s">
        <v>70</v>
      </c>
      <c r="T1" s="34" t="s">
        <v>74</v>
      </c>
    </row>
    <row r="2" spans="1:20">
      <c r="A2" s="29" t="s">
        <v>4</v>
      </c>
      <c r="B2" s="29" t="s">
        <v>119</v>
      </c>
      <c r="C2" s="47" t="s">
        <v>120</v>
      </c>
      <c r="D2" s="29" t="s">
        <v>121</v>
      </c>
      <c r="E2" s="29" t="s">
        <v>20</v>
      </c>
      <c r="F2" s="29" t="s">
        <v>21</v>
      </c>
      <c r="G2" s="29" t="s">
        <v>22</v>
      </c>
      <c r="H2" s="33">
        <f t="shared" ref="H2:H10" si="0">L2*M2</f>
        <v>965.55564000000004</v>
      </c>
      <c r="I2" s="31"/>
      <c r="J2" s="29" t="s">
        <v>66</v>
      </c>
      <c r="K2" s="33">
        <v>141.91</v>
      </c>
      <c r="L2" s="36">
        <v>8</v>
      </c>
      <c r="M2" s="33">
        <f>K2*0.8505</f>
        <v>120.694455</v>
      </c>
      <c r="N2" s="33">
        <v>113.74</v>
      </c>
      <c r="O2" s="33">
        <f>N2*B18</f>
        <v>100.46654199999999</v>
      </c>
      <c r="P2" s="33">
        <f t="shared" ref="P2:P10" si="1">L2*O2</f>
        <v>803.73233599999992</v>
      </c>
      <c r="Q2" s="31"/>
      <c r="R2" s="29"/>
      <c r="S2" s="31">
        <f t="shared" ref="S2:S11" si="2">(P2-H2)/H2</f>
        <v>-0.16759604241967879</v>
      </c>
      <c r="T2" s="31"/>
    </row>
    <row r="3" spans="1:20">
      <c r="A3" s="29" t="s">
        <v>4</v>
      </c>
      <c r="B3" s="29" t="s">
        <v>122</v>
      </c>
      <c r="C3" s="29" t="s">
        <v>123</v>
      </c>
      <c r="D3" s="29" t="s">
        <v>124</v>
      </c>
      <c r="E3" s="29" t="s">
        <v>20</v>
      </c>
      <c r="F3" s="29" t="s">
        <v>21</v>
      </c>
      <c r="G3" s="29" t="s">
        <v>22</v>
      </c>
      <c r="H3" s="33">
        <f t="shared" si="0"/>
        <v>1031.7415500000002</v>
      </c>
      <c r="I3" s="31">
        <f>(H2+H3)/H11</f>
        <v>0.21980517214909601</v>
      </c>
      <c r="J3" s="29" t="s">
        <v>75</v>
      </c>
      <c r="K3" s="33">
        <v>86.65</v>
      </c>
      <c r="L3" s="36">
        <v>14</v>
      </c>
      <c r="M3" s="33">
        <f>K3*0.8505</f>
        <v>73.695825000000013</v>
      </c>
      <c r="N3" s="33">
        <v>58.03</v>
      </c>
      <c r="O3" s="33">
        <f>N3*B18</f>
        <v>51.257899000000002</v>
      </c>
      <c r="P3" s="33">
        <f t="shared" si="1"/>
        <v>717.61058600000001</v>
      </c>
      <c r="Q3" s="31">
        <f>(P2+P3)/P11</f>
        <v>0.17866042310515146</v>
      </c>
      <c r="R3" s="33"/>
      <c r="S3" s="31">
        <f t="shared" si="2"/>
        <v>-0.30446671843350703</v>
      </c>
      <c r="T3" s="31"/>
    </row>
    <row r="4" spans="1:20">
      <c r="A4" s="29" t="s">
        <v>17</v>
      </c>
      <c r="B4" s="29" t="s">
        <v>125</v>
      </c>
      <c r="C4" s="29" t="s">
        <v>24</v>
      </c>
      <c r="D4" s="29" t="s">
        <v>67</v>
      </c>
      <c r="E4" s="29" t="s">
        <v>20</v>
      </c>
      <c r="F4" s="29" t="s">
        <v>21</v>
      </c>
      <c r="G4" s="29" t="s">
        <v>22</v>
      </c>
      <c r="H4" s="33">
        <f t="shared" si="0"/>
        <v>975.03021000000001</v>
      </c>
      <c r="I4" s="31"/>
      <c r="J4" s="29" t="s">
        <v>54</v>
      </c>
      <c r="K4" s="33">
        <v>52.11</v>
      </c>
      <c r="L4" s="36">
        <v>22</v>
      </c>
      <c r="M4" s="33">
        <f>K4*0.8505</f>
        <v>44.319555000000001</v>
      </c>
      <c r="N4" s="33">
        <v>72.760000000000005</v>
      </c>
      <c r="O4" s="33">
        <f>N4*B18</f>
        <v>64.268907999999996</v>
      </c>
      <c r="P4" s="33">
        <f t="shared" si="1"/>
        <v>1413.915976</v>
      </c>
      <c r="Q4" s="31"/>
      <c r="R4" s="33"/>
      <c r="S4" s="31">
        <f t="shared" si="2"/>
        <v>0.45012530022018493</v>
      </c>
      <c r="T4" s="31"/>
    </row>
    <row r="5" spans="1:20">
      <c r="A5" s="29" t="s">
        <v>17</v>
      </c>
      <c r="B5" s="29" t="s">
        <v>126</v>
      </c>
      <c r="C5" s="29" t="s">
        <v>127</v>
      </c>
      <c r="D5" s="29" t="s">
        <v>128</v>
      </c>
      <c r="E5" s="29" t="s">
        <v>10</v>
      </c>
      <c r="F5" s="29" t="s">
        <v>129</v>
      </c>
      <c r="G5" s="29" t="s">
        <v>130</v>
      </c>
      <c r="H5" s="33">
        <f t="shared" si="0"/>
        <v>1003.5520749999999</v>
      </c>
      <c r="I5" s="31">
        <f>(H4+H5)/H11</f>
        <v>0.21774557233797373</v>
      </c>
      <c r="J5" s="29" t="s">
        <v>66</v>
      </c>
      <c r="K5" s="33">
        <v>52.45</v>
      </c>
      <c r="L5" s="36">
        <v>17</v>
      </c>
      <c r="M5" s="33">
        <f>K5*1.1255</f>
        <v>59.032474999999998</v>
      </c>
      <c r="N5" s="33">
        <v>46.2</v>
      </c>
      <c r="O5" s="33">
        <f>N5*B19</f>
        <v>51.111060000000009</v>
      </c>
      <c r="P5" s="33">
        <f t="shared" si="1"/>
        <v>868.8880200000001</v>
      </c>
      <c r="Q5" s="31">
        <f>(P4+P5)/P11</f>
        <v>0.2680833636477723</v>
      </c>
      <c r="R5" s="33"/>
      <c r="S5" s="31">
        <f t="shared" si="2"/>
        <v>-0.13418741125117983</v>
      </c>
      <c r="T5" s="31"/>
    </row>
    <row r="6" spans="1:20">
      <c r="A6" s="29" t="s">
        <v>46</v>
      </c>
      <c r="B6" s="38" t="s">
        <v>131</v>
      </c>
      <c r="C6" s="29" t="s">
        <v>132</v>
      </c>
      <c r="D6" s="29" t="s">
        <v>133</v>
      </c>
      <c r="E6" s="29" t="s">
        <v>20</v>
      </c>
      <c r="F6" s="29" t="s">
        <v>21</v>
      </c>
      <c r="G6" s="29" t="s">
        <v>22</v>
      </c>
      <c r="H6" s="33">
        <f t="shared" si="0"/>
        <v>1091.0214000000001</v>
      </c>
      <c r="I6" s="31"/>
      <c r="J6" s="29" t="s">
        <v>134</v>
      </c>
      <c r="K6" s="33">
        <v>213.8</v>
      </c>
      <c r="L6" s="36">
        <v>6</v>
      </c>
      <c r="M6" s="33">
        <f>K6*0.8505</f>
        <v>181.83690000000001</v>
      </c>
      <c r="N6" s="33">
        <v>211.77</v>
      </c>
      <c r="O6" s="33">
        <f>N6*B18</f>
        <v>187.05644100000001</v>
      </c>
      <c r="P6" s="33">
        <f t="shared" si="1"/>
        <v>1122.3386460000002</v>
      </c>
      <c r="Q6" s="31"/>
      <c r="R6" s="33"/>
      <c r="S6" s="31">
        <f t="shared" si="2"/>
        <v>2.8704520369628006E-2</v>
      </c>
      <c r="T6" s="31"/>
    </row>
    <row r="7" spans="1:20">
      <c r="A7" s="29" t="s">
        <v>46</v>
      </c>
      <c r="B7" s="29" t="s">
        <v>135</v>
      </c>
      <c r="C7" s="29" t="s">
        <v>136</v>
      </c>
      <c r="D7" s="29" t="s">
        <v>137</v>
      </c>
      <c r="E7" s="29" t="s">
        <v>20</v>
      </c>
      <c r="F7" s="29" t="s">
        <v>21</v>
      </c>
      <c r="G7" s="29" t="s">
        <v>22</v>
      </c>
      <c r="H7" s="33">
        <f t="shared" si="0"/>
        <v>997.44938999999999</v>
      </c>
      <c r="I7" s="31">
        <f>(H6+H7)/H11</f>
        <v>0.22983894626332926</v>
      </c>
      <c r="J7" s="29" t="s">
        <v>134</v>
      </c>
      <c r="K7" s="33">
        <v>83.77</v>
      </c>
      <c r="L7" s="36">
        <v>14</v>
      </c>
      <c r="M7" s="33">
        <f>K7*0.8505</f>
        <v>71.246385000000004</v>
      </c>
      <c r="N7" s="33">
        <v>114.41</v>
      </c>
      <c r="O7" s="33">
        <f>N7*B18</f>
        <v>101.058353</v>
      </c>
      <c r="P7" s="33">
        <f t="shared" si="1"/>
        <v>1414.8169419999999</v>
      </c>
      <c r="Q7" s="31">
        <f>(P6+P7)/P11</f>
        <v>0.29795339648984109</v>
      </c>
      <c r="R7" s="33"/>
      <c r="S7" s="31">
        <f t="shared" si="2"/>
        <v>0.41843481602610427</v>
      </c>
      <c r="T7" s="31"/>
    </row>
    <row r="8" spans="1:20">
      <c r="A8" s="29" t="s">
        <v>26</v>
      </c>
      <c r="B8" s="29" t="s">
        <v>138</v>
      </c>
      <c r="C8" s="29" t="s">
        <v>139</v>
      </c>
      <c r="D8" s="29" t="s">
        <v>140</v>
      </c>
      <c r="E8" s="29" t="s">
        <v>10</v>
      </c>
      <c r="F8" s="29" t="s">
        <v>141</v>
      </c>
      <c r="G8" s="29" t="s">
        <v>16</v>
      </c>
      <c r="H8" s="33">
        <f t="shared" si="0"/>
        <v>1006.02</v>
      </c>
      <c r="I8" s="31">
        <f>(H8)/H11</f>
        <v>0.11071381885108121</v>
      </c>
      <c r="J8" s="29" t="s">
        <v>134</v>
      </c>
      <c r="K8" s="33">
        <v>55.89</v>
      </c>
      <c r="L8" s="36">
        <v>18</v>
      </c>
      <c r="M8" s="33">
        <f>K8</f>
        <v>55.89</v>
      </c>
      <c r="N8" s="33">
        <v>35.700000000000003</v>
      </c>
      <c r="O8" s="33">
        <f>N8</f>
        <v>35.700000000000003</v>
      </c>
      <c r="P8" s="33">
        <f t="shared" si="1"/>
        <v>642.6</v>
      </c>
      <c r="Q8" s="31">
        <f>(P8)/P11</f>
        <v>7.5464371790971096E-2</v>
      </c>
      <c r="R8" s="33"/>
      <c r="S8" s="31">
        <f t="shared" si="2"/>
        <v>-0.36124530327428872</v>
      </c>
      <c r="T8" s="31"/>
    </row>
    <row r="9" spans="1:20">
      <c r="A9" s="29" t="s">
        <v>38</v>
      </c>
      <c r="B9" s="38" t="s">
        <v>142</v>
      </c>
      <c r="C9" s="29" t="s">
        <v>143</v>
      </c>
      <c r="D9" s="29" t="s">
        <v>144</v>
      </c>
      <c r="E9" s="29" t="s">
        <v>10</v>
      </c>
      <c r="F9" s="29" t="s">
        <v>145</v>
      </c>
      <c r="G9" s="29" t="s">
        <v>16</v>
      </c>
      <c r="H9" s="33">
        <f t="shared" si="0"/>
        <v>1008.28</v>
      </c>
      <c r="I9" s="31">
        <f>(H9)/H11</f>
        <v>0.11096253481160231</v>
      </c>
      <c r="J9" s="29" t="s">
        <v>75</v>
      </c>
      <c r="K9" s="33">
        <v>19.39</v>
      </c>
      <c r="L9" s="36">
        <v>52</v>
      </c>
      <c r="M9" s="33">
        <f>K9</f>
        <v>19.39</v>
      </c>
      <c r="N9" s="33">
        <v>14.3</v>
      </c>
      <c r="O9" s="33">
        <f>N9</f>
        <v>14.3</v>
      </c>
      <c r="P9" s="33">
        <f t="shared" si="1"/>
        <v>743.6</v>
      </c>
      <c r="Q9" s="31">
        <f>(P9)/P11</f>
        <v>8.7325407506638822E-2</v>
      </c>
      <c r="R9" s="33"/>
      <c r="S9" s="31">
        <f t="shared" si="2"/>
        <v>-0.26250644662197004</v>
      </c>
      <c r="T9" s="31"/>
    </row>
    <row r="10" spans="1:20">
      <c r="A10" s="29" t="s">
        <v>113</v>
      </c>
      <c r="B10" s="29" t="s">
        <v>146</v>
      </c>
      <c r="C10" s="29" t="s">
        <v>147</v>
      </c>
      <c r="D10" s="29" t="s">
        <v>148</v>
      </c>
      <c r="E10" s="29" t="s">
        <v>10</v>
      </c>
      <c r="F10" s="29" t="s">
        <v>129</v>
      </c>
      <c r="G10" s="29" t="s">
        <v>130</v>
      </c>
      <c r="H10" s="33">
        <f t="shared" si="0"/>
        <v>1008.0203099999999</v>
      </c>
      <c r="I10" s="31">
        <f>(H10)/H11</f>
        <v>0.11093395558691747</v>
      </c>
      <c r="J10" s="29" t="s">
        <v>66</v>
      </c>
      <c r="K10" s="33">
        <v>9.7349999999999994</v>
      </c>
      <c r="L10" s="36">
        <v>92</v>
      </c>
      <c r="M10" s="33">
        <f>K10*1.1255</f>
        <v>10.956742499999999</v>
      </c>
      <c r="N10" s="33">
        <v>7.74</v>
      </c>
      <c r="O10" s="33">
        <f>N10*B19</f>
        <v>8.5627620000000011</v>
      </c>
      <c r="P10" s="33">
        <f t="shared" si="1"/>
        <v>787.77410400000008</v>
      </c>
      <c r="Q10" s="31">
        <f>(P10)/P11</f>
        <v>9.2513037459625164E-2</v>
      </c>
      <c r="R10" s="33"/>
      <c r="S10" s="31">
        <f t="shared" si="2"/>
        <v>-0.21849381784777713</v>
      </c>
      <c r="T10" s="31"/>
    </row>
    <row r="11" spans="1:20" s="4" customFormat="1">
      <c r="A11" s="10"/>
      <c r="B11" s="10"/>
      <c r="C11" s="10"/>
      <c r="D11" s="10"/>
      <c r="E11" s="10"/>
      <c r="F11" s="10"/>
      <c r="G11" s="10"/>
      <c r="H11" s="11">
        <f>SUM(H2:H10)</f>
        <v>9086.6705750000001</v>
      </c>
      <c r="I11" s="12">
        <f>SUM(I2:I10)</f>
        <v>1</v>
      </c>
      <c r="J11" s="10"/>
      <c r="K11" s="11"/>
      <c r="L11" s="19"/>
      <c r="M11" s="11"/>
      <c r="N11" s="11"/>
      <c r="O11" s="11"/>
      <c r="P11" s="11">
        <f>SUM(P2:P10)</f>
        <v>8515.2766100000008</v>
      </c>
      <c r="Q11" s="12">
        <f>SUM(Q2:Q10)</f>
        <v>1</v>
      </c>
      <c r="R11" s="11"/>
      <c r="S11" s="12">
        <f t="shared" si="2"/>
        <v>-6.2882654354397494E-2</v>
      </c>
      <c r="T11" s="12"/>
    </row>
    <row r="13" spans="1:20">
      <c r="A13" s="40" t="s">
        <v>72</v>
      </c>
      <c r="B13" s="40"/>
      <c r="C13" s="40"/>
      <c r="D13" s="40"/>
      <c r="E13" s="40"/>
      <c r="F13" s="40"/>
      <c r="G13" s="40"/>
      <c r="H13" s="41"/>
      <c r="I13" s="42"/>
      <c r="J13" s="40" t="s">
        <v>64</v>
      </c>
      <c r="K13" s="41">
        <v>2010.9459999999999</v>
      </c>
      <c r="L13" s="43"/>
      <c r="M13" s="41"/>
      <c r="N13" s="41">
        <f>'170830_langfr_Geldanlage'!N14</f>
        <v>1952.83</v>
      </c>
      <c r="O13" s="41"/>
      <c r="P13" s="41"/>
      <c r="Q13" s="42"/>
      <c r="R13" s="41" t="s">
        <v>149</v>
      </c>
      <c r="S13" s="42">
        <f>(N13-K13)/K13</f>
        <v>-2.8899831223712615E-2</v>
      </c>
      <c r="T13" s="42"/>
    </row>
    <row r="16" spans="1:20">
      <c r="A16" s="35" t="s">
        <v>150</v>
      </c>
      <c r="B16" s="48">
        <v>43012</v>
      </c>
    </row>
    <row r="18" spans="1:2">
      <c r="A18" s="35" t="s">
        <v>22</v>
      </c>
      <c r="B18" s="35">
        <f>'171004_langfr_Geldanlage'!B17</f>
        <v>0.88329999999999997</v>
      </c>
    </row>
    <row r="19" spans="1:2">
      <c r="A19" s="35" t="s">
        <v>130</v>
      </c>
      <c r="B19" s="35">
        <f>'170830_langfr_Geldanlage'!B19</f>
        <v>1.1063000000000001</v>
      </c>
    </row>
    <row r="21" spans="1:2">
      <c r="A21" s="50" t="s">
        <v>168</v>
      </c>
      <c r="B21" s="51">
        <f>'170830_langfr_Geldanlage'!B25</f>
        <v>43445</v>
      </c>
    </row>
    <row r="22" spans="1:2">
      <c r="A22" s="50" t="s">
        <v>169</v>
      </c>
      <c r="B22" s="44">
        <f>'171004_langfr_Geldanlage'!B23</f>
        <v>1.17</v>
      </c>
    </row>
  </sheetData>
  <phoneticPr fontId="20" type="noConversion"/>
  <pageMargins left="0.5" right="0.5" top="0.79000000000000015" bottom="0.79000000000000015" header="0.30000000000000004" footer="0.30000000000000004"/>
  <pageSetup paperSize="9" scale="47" orientation="landscape"/>
  <headerFooter>
    <oddHeader>&amp;C&amp;"Calibri,Standard"&amp;K000000Musterdepot Turnaround Werte per 04.10.2017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15"/>
  <sheetViews>
    <sheetView zoomScale="150" zoomScaleNormal="150" zoomScalePageLayoutView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6" sqref="N6"/>
    </sheetView>
  </sheetViews>
  <sheetFormatPr baseColWidth="10" defaultRowHeight="15" x14ac:dyDescent="0"/>
  <cols>
    <col min="1" max="1" width="19" style="35" bestFit="1" customWidth="1"/>
    <col min="2" max="2" width="37.5" style="35" customWidth="1"/>
    <col min="3" max="3" width="19.83203125" style="35" bestFit="1" customWidth="1"/>
    <col min="4" max="4" width="12.33203125" style="35" bestFit="1" customWidth="1"/>
    <col min="5" max="5" width="9.5" style="35" bestFit="1" customWidth="1"/>
    <col min="6" max="6" width="11.33203125" style="35" bestFit="1" customWidth="1"/>
    <col min="7" max="7" width="8.83203125" style="35" bestFit="1" customWidth="1"/>
    <col min="8" max="8" width="10.33203125" style="44" customWidth="1"/>
    <col min="9" max="9" width="9.83203125" style="45" bestFit="1" customWidth="1"/>
    <col min="10" max="10" width="18.33203125" style="35" bestFit="1" customWidth="1"/>
    <col min="11" max="11" width="11.1640625" style="44" customWidth="1"/>
    <col min="12" max="12" width="7" style="46" bestFit="1" customWidth="1"/>
    <col min="13" max="13" width="8.33203125" style="44" bestFit="1" customWidth="1"/>
    <col min="14" max="16" width="10.5" style="44" customWidth="1"/>
    <col min="17" max="17" width="10.5" style="45" customWidth="1"/>
    <col min="18" max="18" width="18.33203125" style="44" bestFit="1" customWidth="1"/>
    <col min="19" max="19" width="11.83203125" style="45" customWidth="1"/>
    <col min="20" max="20" width="12.6640625" style="45" customWidth="1"/>
    <col min="21" max="16384" width="10.83203125" style="35"/>
  </cols>
  <sheetData>
    <row r="1" spans="1:20" ht="30">
      <c r="A1" s="29" t="s">
        <v>0</v>
      </c>
      <c r="B1" s="29" t="s">
        <v>2</v>
      </c>
      <c r="C1" s="29" t="s">
        <v>1</v>
      </c>
      <c r="D1" s="29" t="s">
        <v>56</v>
      </c>
      <c r="E1" s="29" t="s">
        <v>11</v>
      </c>
      <c r="F1" s="29" t="s">
        <v>12</v>
      </c>
      <c r="G1" s="29" t="s">
        <v>13</v>
      </c>
      <c r="H1" s="30" t="s">
        <v>152</v>
      </c>
      <c r="I1" s="31" t="s">
        <v>3</v>
      </c>
      <c r="J1" s="29" t="s">
        <v>51</v>
      </c>
      <c r="K1" s="30" t="s">
        <v>71</v>
      </c>
      <c r="L1" s="32" t="s">
        <v>73</v>
      </c>
      <c r="M1" s="33" t="s">
        <v>55</v>
      </c>
      <c r="N1" s="49" t="s">
        <v>165</v>
      </c>
      <c r="O1" s="49" t="s">
        <v>166</v>
      </c>
      <c r="P1" s="49" t="s">
        <v>167</v>
      </c>
      <c r="Q1" s="31" t="s">
        <v>3</v>
      </c>
      <c r="R1" s="29" t="s">
        <v>51</v>
      </c>
      <c r="S1" s="34" t="s">
        <v>70</v>
      </c>
      <c r="T1" s="34" t="s">
        <v>74</v>
      </c>
    </row>
    <row r="2" spans="1:20">
      <c r="A2" s="29" t="s">
        <v>4</v>
      </c>
      <c r="B2" s="29" t="s">
        <v>79</v>
      </c>
      <c r="C2" s="29" t="s">
        <v>153</v>
      </c>
      <c r="D2" s="29" t="s">
        <v>154</v>
      </c>
      <c r="E2" s="29" t="s">
        <v>10</v>
      </c>
      <c r="F2" s="29" t="s">
        <v>34</v>
      </c>
      <c r="G2" s="29" t="s">
        <v>130</v>
      </c>
      <c r="H2" s="33">
        <f t="shared" ref="H2:H5" si="0">L2*M2</f>
        <v>1014.3000000000001</v>
      </c>
      <c r="I2" s="31"/>
      <c r="J2" s="29" t="s">
        <v>60</v>
      </c>
      <c r="K2" s="33">
        <v>12.88</v>
      </c>
      <c r="L2" s="36">
        <v>70</v>
      </c>
      <c r="M2" s="33">
        <f>K2*1.125</f>
        <v>14.49</v>
      </c>
      <c r="N2" s="33">
        <v>14.95</v>
      </c>
      <c r="O2" s="33">
        <f>N2*B12</f>
        <v>16.539185</v>
      </c>
      <c r="P2" s="33">
        <f t="shared" ref="P2:P5" si="1">L2*O2</f>
        <v>1157.7429500000001</v>
      </c>
      <c r="Q2" s="31"/>
      <c r="R2" s="29"/>
      <c r="S2" s="31">
        <f t="shared" ref="S2:S6" si="2">(P2-H2)/H2</f>
        <v>0.14142063492063492</v>
      </c>
      <c r="T2" s="31"/>
    </row>
    <row r="3" spans="1:20">
      <c r="A3" s="29" t="s">
        <v>4</v>
      </c>
      <c r="B3" s="29" t="s">
        <v>155</v>
      </c>
      <c r="C3" s="37" t="s">
        <v>156</v>
      </c>
      <c r="D3" s="29" t="s">
        <v>157</v>
      </c>
      <c r="E3" s="29" t="s">
        <v>20</v>
      </c>
      <c r="F3" s="29" t="s">
        <v>21</v>
      </c>
      <c r="G3" s="29" t="s">
        <v>22</v>
      </c>
      <c r="H3" s="33">
        <f t="shared" si="0"/>
        <v>1043.18256</v>
      </c>
      <c r="I3" s="31">
        <f>(H2+H3)/H6</f>
        <v>0.50684319868071748</v>
      </c>
      <c r="J3" s="29" t="s">
        <v>60</v>
      </c>
      <c r="K3" s="33">
        <v>104.36</v>
      </c>
      <c r="L3" s="36">
        <v>12</v>
      </c>
      <c r="M3" s="33">
        <f>K3*0.833</f>
        <v>86.931879999999992</v>
      </c>
      <c r="N3" s="33">
        <v>68.66</v>
      </c>
      <c r="O3" s="33">
        <f>N3*B11</f>
        <v>60.647377999999996</v>
      </c>
      <c r="P3" s="33">
        <f t="shared" si="1"/>
        <v>727.76853599999993</v>
      </c>
      <c r="Q3" s="31">
        <f>(P2+P3)/P6</f>
        <v>0.43119215113001508</v>
      </c>
      <c r="R3" s="33"/>
      <c r="S3" s="31">
        <f t="shared" si="2"/>
        <v>-0.30235745505561373</v>
      </c>
      <c r="T3" s="31"/>
    </row>
    <row r="4" spans="1:20">
      <c r="A4" s="29" t="s">
        <v>158</v>
      </c>
      <c r="B4" s="59" t="s">
        <v>204</v>
      </c>
      <c r="C4" s="37" t="s">
        <v>160</v>
      </c>
      <c r="D4" s="29" t="s">
        <v>159</v>
      </c>
      <c r="E4" s="29" t="s">
        <v>20</v>
      </c>
      <c r="F4" s="29" t="s">
        <v>21</v>
      </c>
      <c r="G4" s="29" t="s">
        <v>22</v>
      </c>
      <c r="H4" s="33">
        <f t="shared" si="0"/>
        <v>1000.32471</v>
      </c>
      <c r="I4" s="31">
        <f>(H4)/H6</f>
        <v>0.24642142081426008</v>
      </c>
      <c r="J4" s="29" t="s">
        <v>66</v>
      </c>
      <c r="K4" s="33">
        <v>36.39</v>
      </c>
      <c r="L4" s="36">
        <v>33</v>
      </c>
      <c r="M4" s="33">
        <f>K4*0.833</f>
        <v>30.31287</v>
      </c>
      <c r="N4" s="33">
        <v>44.93</v>
      </c>
      <c r="O4" s="33">
        <f>N4*B11</f>
        <v>39.686669000000002</v>
      </c>
      <c r="P4" s="33">
        <f t="shared" si="1"/>
        <v>1309.660077</v>
      </c>
      <c r="Q4" s="31">
        <f>(P4)/P6</f>
        <v>0.29950236317506646</v>
      </c>
      <c r="R4" s="33"/>
      <c r="S4" s="31">
        <f t="shared" si="2"/>
        <v>0.30923495531765882</v>
      </c>
      <c r="T4" s="31"/>
    </row>
    <row r="5" spans="1:20">
      <c r="A5" s="29" t="s">
        <v>161</v>
      </c>
      <c r="B5" s="29" t="s">
        <v>162</v>
      </c>
      <c r="C5" s="37" t="s">
        <v>163</v>
      </c>
      <c r="D5" s="29" t="s">
        <v>164</v>
      </c>
      <c r="E5" s="29" t="s">
        <v>20</v>
      </c>
      <c r="F5" s="29" t="s">
        <v>21</v>
      </c>
      <c r="G5" s="29" t="s">
        <v>22</v>
      </c>
      <c r="H5" s="33">
        <f t="shared" si="0"/>
        <v>1001.5992</v>
      </c>
      <c r="I5" s="31">
        <f>(H5)/H6</f>
        <v>0.24673538050502244</v>
      </c>
      <c r="J5" s="29" t="s">
        <v>60</v>
      </c>
      <c r="K5" s="33">
        <v>40.08</v>
      </c>
      <c r="L5" s="36">
        <v>30</v>
      </c>
      <c r="M5" s="33">
        <f>K5*0.833</f>
        <v>33.38664</v>
      </c>
      <c r="N5" s="33">
        <v>44.44</v>
      </c>
      <c r="O5" s="33">
        <f>N5*B11</f>
        <v>39.253851999999995</v>
      </c>
      <c r="P5" s="33">
        <f t="shared" si="1"/>
        <v>1177.6155599999997</v>
      </c>
      <c r="Q5" s="31">
        <f>(P5)/P6</f>
        <v>0.26930548569491836</v>
      </c>
      <c r="R5" s="33"/>
      <c r="S5" s="31">
        <f t="shared" si="2"/>
        <v>0.1757353240697474</v>
      </c>
      <c r="T5" s="31"/>
    </row>
    <row r="6" spans="1:20" s="4" customFormat="1">
      <c r="A6" s="10"/>
      <c r="B6" s="10"/>
      <c r="C6" s="10"/>
      <c r="D6" s="10"/>
      <c r="E6" s="10"/>
      <c r="F6" s="10"/>
      <c r="G6" s="10"/>
      <c r="H6" s="11">
        <f>SUM(H2:H5)</f>
        <v>4059.4064699999999</v>
      </c>
      <c r="I6" s="12">
        <f>SUM(I2:I5)</f>
        <v>1</v>
      </c>
      <c r="J6" s="10"/>
      <c r="K6" s="11"/>
      <c r="L6" s="19"/>
      <c r="M6" s="11"/>
      <c r="N6" s="11"/>
      <c r="O6" s="11"/>
      <c r="P6" s="11">
        <f>SUM(P2:P5)</f>
        <v>4372.7871230000001</v>
      </c>
      <c r="Q6" s="12">
        <f>SUM(Q2:Q5)</f>
        <v>1</v>
      </c>
      <c r="R6" s="11"/>
      <c r="S6" s="12">
        <f t="shared" si="2"/>
        <v>7.7198638598021493E-2</v>
      </c>
      <c r="T6" s="12"/>
    </row>
    <row r="8" spans="1:20">
      <c r="A8" s="40" t="s">
        <v>72</v>
      </c>
      <c r="B8" s="40"/>
      <c r="C8" s="40"/>
      <c r="D8" s="40"/>
      <c r="E8" s="40"/>
      <c r="F8" s="40"/>
      <c r="G8" s="40"/>
      <c r="H8" s="41"/>
      <c r="I8" s="42"/>
      <c r="J8" s="40" t="s">
        <v>64</v>
      </c>
      <c r="K8" s="41">
        <v>2103.44</v>
      </c>
      <c r="L8" s="43"/>
      <c r="M8" s="41"/>
      <c r="N8" s="41">
        <f>'170830_langfr_Geldanlage'!N14</f>
        <v>1952.83</v>
      </c>
      <c r="O8" s="41"/>
      <c r="P8" s="41"/>
      <c r="Q8" s="42"/>
      <c r="R8" s="41" t="s">
        <v>64</v>
      </c>
      <c r="S8" s="42">
        <f>(N8-K8)/K8</f>
        <v>-7.1601757121667428E-2</v>
      </c>
      <c r="T8" s="42"/>
    </row>
    <row r="10" spans="1:20">
      <c r="A10" s="35" t="s">
        <v>117</v>
      </c>
    </row>
    <row r="11" spans="1:20">
      <c r="A11" s="35" t="s">
        <v>22</v>
      </c>
      <c r="B11" s="35">
        <f>'170830_langfr_Geldanlage'!B18</f>
        <v>0.88329999999999997</v>
      </c>
    </row>
    <row r="12" spans="1:20">
      <c r="A12" s="35" t="s">
        <v>130</v>
      </c>
      <c r="B12" s="35">
        <f>'170830_langfr_Geldanlage'!B19</f>
        <v>1.1063000000000001</v>
      </c>
    </row>
    <row r="14" spans="1:20">
      <c r="A14" s="50" t="s">
        <v>168</v>
      </c>
      <c r="B14" s="51">
        <f>'170830_langfr_Geldanlage'!B25</f>
        <v>43445</v>
      </c>
      <c r="C14" s="58" t="str">
        <f>'170830_langfr_Geldanlage'!C25</f>
        <v>zwischen 20:15 und 20:30 Uhr</v>
      </c>
    </row>
    <row r="15" spans="1:20">
      <c r="A15" s="50" t="s">
        <v>169</v>
      </c>
      <c r="B15" s="44">
        <v>1</v>
      </c>
    </row>
  </sheetData>
  <phoneticPr fontId="20" type="noConversion"/>
  <pageMargins left="0.5" right="0.5" top="0.79000000000000015" bottom="0.79000000000000015" header="0.30000000000000004" footer="0.30000000000000004"/>
  <pageSetup paperSize="9" scale="47" orientation="landscape"/>
  <headerFooter>
    <oddHeader>&amp;C&amp;"Calibri,Standard"&amp;K000000Empfehlungsliste per 13.12.2017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25"/>
  <sheetViews>
    <sheetView zoomScale="150" zoomScaleNormal="150" zoomScalePageLayoutView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2" sqref="N2"/>
    </sheetView>
  </sheetViews>
  <sheetFormatPr baseColWidth="10" defaultRowHeight="15" x14ac:dyDescent="0"/>
  <cols>
    <col min="1" max="1" width="19" style="1" bestFit="1" customWidth="1"/>
    <col min="2" max="2" width="36.33203125" style="1" bestFit="1" customWidth="1"/>
    <col min="3" max="3" width="19.83203125" style="1" bestFit="1" customWidth="1"/>
    <col min="4" max="4" width="10.5" style="1" bestFit="1" customWidth="1"/>
    <col min="5" max="5" width="9.5" style="1" bestFit="1" customWidth="1"/>
    <col min="6" max="6" width="12.6640625" style="1" bestFit="1" customWidth="1"/>
    <col min="7" max="7" width="8.83203125" style="1" bestFit="1" customWidth="1"/>
    <col min="8" max="8" width="10.5" style="2" customWidth="1"/>
    <col min="9" max="9" width="9.83203125" style="3" bestFit="1" customWidth="1"/>
    <col min="10" max="10" width="21.1640625" style="1" bestFit="1" customWidth="1"/>
    <col min="11" max="11" width="11.1640625" style="2" customWidth="1"/>
    <col min="12" max="12" width="7" style="21" bestFit="1" customWidth="1"/>
    <col min="13" max="13" width="8.33203125" style="2" bestFit="1" customWidth="1"/>
    <col min="14" max="16" width="10.5" style="2" customWidth="1"/>
    <col min="17" max="17" width="10.5" style="3" customWidth="1"/>
    <col min="18" max="18" width="13.1640625" style="2" bestFit="1" customWidth="1"/>
    <col min="19" max="19" width="11.83203125" style="3" customWidth="1"/>
    <col min="20" max="20" width="12.6640625" style="3" customWidth="1"/>
    <col min="21" max="16384" width="10.83203125" style="1"/>
  </cols>
  <sheetData>
    <row r="1" spans="1:20" ht="30">
      <c r="A1" s="5" t="s">
        <v>0</v>
      </c>
      <c r="B1" s="5" t="s">
        <v>2</v>
      </c>
      <c r="C1" s="5" t="s">
        <v>1</v>
      </c>
      <c r="D1" s="5" t="s">
        <v>56</v>
      </c>
      <c r="E1" s="5" t="s">
        <v>11</v>
      </c>
      <c r="F1" s="5" t="s">
        <v>12</v>
      </c>
      <c r="G1" s="5" t="s">
        <v>13</v>
      </c>
      <c r="H1" s="49" t="s">
        <v>175</v>
      </c>
      <c r="I1" s="7" t="s">
        <v>3</v>
      </c>
      <c r="J1" s="5" t="s">
        <v>51</v>
      </c>
      <c r="K1" s="8" t="s">
        <v>71</v>
      </c>
      <c r="L1" s="17" t="s">
        <v>73</v>
      </c>
      <c r="M1" s="6" t="s">
        <v>55</v>
      </c>
      <c r="N1" s="49" t="s">
        <v>165</v>
      </c>
      <c r="O1" s="49" t="s">
        <v>166</v>
      </c>
      <c r="P1" s="49" t="s">
        <v>167</v>
      </c>
      <c r="Q1" s="7" t="s">
        <v>3</v>
      </c>
      <c r="R1" s="5" t="s">
        <v>51</v>
      </c>
      <c r="S1" s="9" t="s">
        <v>70</v>
      </c>
      <c r="T1" s="23" t="s">
        <v>74</v>
      </c>
    </row>
    <row r="2" spans="1:20">
      <c r="A2" s="53" t="s">
        <v>171</v>
      </c>
      <c r="B2" s="53" t="s">
        <v>172</v>
      </c>
      <c r="C2" s="53" t="s">
        <v>173</v>
      </c>
      <c r="D2" s="53" t="s">
        <v>174</v>
      </c>
      <c r="E2" s="53" t="s">
        <v>20</v>
      </c>
      <c r="F2" s="53" t="s">
        <v>41</v>
      </c>
      <c r="G2" s="53" t="s">
        <v>42</v>
      </c>
      <c r="H2" s="6">
        <f t="shared" ref="H2:H11" si="0">M2*L2</f>
        <v>1025.74432</v>
      </c>
      <c r="I2" s="7"/>
      <c r="J2" s="53" t="s">
        <v>53</v>
      </c>
      <c r="K2" s="6">
        <v>40.729999999999997</v>
      </c>
      <c r="L2" s="18">
        <v>40</v>
      </c>
      <c r="M2" s="6">
        <f>K2*0.6296</f>
        <v>25.643608</v>
      </c>
      <c r="N2" s="6">
        <v>41.99</v>
      </c>
      <c r="O2" s="6">
        <f>N2*B21</f>
        <v>27.663012000000002</v>
      </c>
      <c r="P2" s="6">
        <f t="shared" ref="P2:P11" si="1">L2*O2</f>
        <v>1106.5204800000001</v>
      </c>
      <c r="Q2" s="7"/>
      <c r="R2" s="33"/>
      <c r="S2" s="7">
        <f>(P2-H2)/H2</f>
        <v>7.8748825048331847E-2</v>
      </c>
      <c r="T2" s="7"/>
    </row>
    <row r="3" spans="1:20">
      <c r="A3" s="53" t="s">
        <v>176</v>
      </c>
      <c r="B3" s="53" t="s">
        <v>177</v>
      </c>
      <c r="C3" s="53" t="s">
        <v>178</v>
      </c>
      <c r="D3" s="53" t="s">
        <v>179</v>
      </c>
      <c r="E3" s="53" t="s">
        <v>29</v>
      </c>
      <c r="F3" s="53" t="s">
        <v>180</v>
      </c>
      <c r="G3" s="53" t="s">
        <v>16</v>
      </c>
      <c r="H3" s="6">
        <f t="shared" si="0"/>
        <v>946.80000000000007</v>
      </c>
      <c r="I3" s="7"/>
      <c r="J3" s="53" t="s">
        <v>181</v>
      </c>
      <c r="K3" s="6">
        <v>78.900000000000006</v>
      </c>
      <c r="L3" s="18">
        <v>12</v>
      </c>
      <c r="M3" s="6">
        <f>K3</f>
        <v>78.900000000000006</v>
      </c>
      <c r="N3" s="6">
        <v>82</v>
      </c>
      <c r="O3" s="6">
        <f>N3</f>
        <v>82</v>
      </c>
      <c r="P3" s="6">
        <f t="shared" si="1"/>
        <v>984</v>
      </c>
      <c r="Q3" s="7"/>
      <c r="R3" s="26"/>
      <c r="S3" s="7">
        <f t="shared" ref="S3:S12" si="2">(P3-H3)/H3</f>
        <v>3.9290240811153281E-2</v>
      </c>
      <c r="T3" s="7"/>
    </row>
    <row r="4" spans="1:20">
      <c r="A4" s="53" t="s">
        <v>4</v>
      </c>
      <c r="B4" s="53" t="s">
        <v>5</v>
      </c>
      <c r="C4" s="53" t="s">
        <v>6</v>
      </c>
      <c r="D4" s="53" t="s">
        <v>58</v>
      </c>
      <c r="E4" s="53" t="s">
        <v>7</v>
      </c>
      <c r="F4" s="53" t="s">
        <v>7</v>
      </c>
      <c r="G4" s="53" t="s">
        <v>16</v>
      </c>
      <c r="H4" s="6">
        <f t="shared" si="0"/>
        <v>988.00000000000011</v>
      </c>
      <c r="I4" s="7"/>
      <c r="J4" s="53" t="s">
        <v>53</v>
      </c>
      <c r="K4" s="6">
        <v>39.520000000000003</v>
      </c>
      <c r="L4" s="18">
        <v>25</v>
      </c>
      <c r="M4" s="6">
        <f>K4</f>
        <v>39.520000000000003</v>
      </c>
      <c r="N4" s="6">
        <v>33.4</v>
      </c>
      <c r="O4" s="6">
        <f>N4</f>
        <v>33.4</v>
      </c>
      <c r="P4" s="6">
        <f t="shared" si="1"/>
        <v>835</v>
      </c>
      <c r="Q4" s="7"/>
      <c r="R4" s="28"/>
      <c r="S4" s="7">
        <f t="shared" si="2"/>
        <v>-0.1548582995951418</v>
      </c>
      <c r="T4" s="7"/>
    </row>
    <row r="5" spans="1:20">
      <c r="A5" s="53" t="s">
        <v>17</v>
      </c>
      <c r="B5" s="53" t="s">
        <v>182</v>
      </c>
      <c r="C5" s="53" t="s">
        <v>183</v>
      </c>
      <c r="D5" s="53" t="s">
        <v>184</v>
      </c>
      <c r="E5" s="53" t="s">
        <v>10</v>
      </c>
      <c r="F5" s="53" t="s">
        <v>15</v>
      </c>
      <c r="G5" s="53" t="s">
        <v>16</v>
      </c>
      <c r="H5" s="6">
        <f t="shared" si="0"/>
        <v>1068</v>
      </c>
      <c r="I5" s="7"/>
      <c r="J5" s="53" t="s">
        <v>60</v>
      </c>
      <c r="K5" s="6">
        <v>106.8</v>
      </c>
      <c r="L5" s="18">
        <v>10</v>
      </c>
      <c r="M5" s="6">
        <f>K5</f>
        <v>106.8</v>
      </c>
      <c r="N5" s="6">
        <v>99.64</v>
      </c>
      <c r="O5" s="6">
        <f>N5</f>
        <v>99.64</v>
      </c>
      <c r="P5" s="6">
        <f t="shared" si="1"/>
        <v>996.4</v>
      </c>
      <c r="Q5" s="7"/>
      <c r="R5" s="33"/>
      <c r="S5" s="7">
        <f t="shared" si="2"/>
        <v>-6.7041198501872679E-2</v>
      </c>
      <c r="T5" s="7"/>
    </row>
    <row r="6" spans="1:20">
      <c r="A6" s="53" t="s">
        <v>25</v>
      </c>
      <c r="B6" s="53" t="s">
        <v>189</v>
      </c>
      <c r="C6" s="53" t="s">
        <v>187</v>
      </c>
      <c r="D6" s="53" t="s">
        <v>188</v>
      </c>
      <c r="E6" s="53" t="s">
        <v>20</v>
      </c>
      <c r="F6" s="53" t="s">
        <v>21</v>
      </c>
      <c r="G6" s="53" t="s">
        <v>22</v>
      </c>
      <c r="H6" s="6">
        <f t="shared" si="0"/>
        <v>1052.9375520000001</v>
      </c>
      <c r="I6" s="7"/>
      <c r="J6" s="53" t="s">
        <v>75</v>
      </c>
      <c r="K6" s="6">
        <v>216.28</v>
      </c>
      <c r="L6" s="18">
        <v>6</v>
      </c>
      <c r="M6" s="6">
        <f>K6*0.8114</f>
        <v>175.48959200000002</v>
      </c>
      <c r="N6" s="6">
        <v>188.59</v>
      </c>
      <c r="O6" s="6">
        <f>N6*B18</f>
        <v>166.581547</v>
      </c>
      <c r="P6" s="6">
        <f t="shared" si="1"/>
        <v>999.489282</v>
      </c>
      <c r="Q6" s="7"/>
      <c r="R6" s="22"/>
      <c r="S6" s="7">
        <f t="shared" si="2"/>
        <v>-5.0761101547264494E-2</v>
      </c>
      <c r="T6" s="7"/>
    </row>
    <row r="7" spans="1:20">
      <c r="A7" s="53" t="s">
        <v>26</v>
      </c>
      <c r="B7" s="53" t="s">
        <v>190</v>
      </c>
      <c r="C7" s="53" t="s">
        <v>185</v>
      </c>
      <c r="D7" s="53" t="s">
        <v>191</v>
      </c>
      <c r="E7" s="53" t="s">
        <v>10</v>
      </c>
      <c r="F7" s="53" t="s">
        <v>15</v>
      </c>
      <c r="G7" s="53" t="s">
        <v>16</v>
      </c>
      <c r="H7" s="6">
        <f t="shared" si="0"/>
        <v>1015</v>
      </c>
      <c r="I7" s="7"/>
      <c r="J7" s="53" t="s">
        <v>192</v>
      </c>
      <c r="K7" s="6">
        <v>507.5</v>
      </c>
      <c r="L7" s="18">
        <v>2</v>
      </c>
      <c r="M7" s="6">
        <f>K7</f>
        <v>507.5</v>
      </c>
      <c r="N7" s="6">
        <v>466</v>
      </c>
      <c r="O7" s="6">
        <f>N7</f>
        <v>466</v>
      </c>
      <c r="P7" s="6">
        <f t="shared" si="1"/>
        <v>932</v>
      </c>
      <c r="Q7" s="7"/>
      <c r="R7" s="28"/>
      <c r="S7" s="7">
        <f t="shared" si="2"/>
        <v>-8.1773399014778328E-2</v>
      </c>
      <c r="T7" s="7"/>
    </row>
    <row r="8" spans="1:20">
      <c r="A8" s="53" t="s">
        <v>26</v>
      </c>
      <c r="B8" s="53" t="s">
        <v>32</v>
      </c>
      <c r="C8" s="53" t="s">
        <v>33</v>
      </c>
      <c r="D8" s="53" t="s">
        <v>57</v>
      </c>
      <c r="E8" s="53" t="s">
        <v>10</v>
      </c>
      <c r="F8" s="53" t="s">
        <v>193</v>
      </c>
      <c r="G8" s="53" t="s">
        <v>130</v>
      </c>
      <c r="H8" s="6">
        <f t="shared" si="0"/>
        <v>1025.28855</v>
      </c>
      <c r="I8" s="7"/>
      <c r="J8" s="53" t="s">
        <v>53</v>
      </c>
      <c r="K8" s="6">
        <v>19.5</v>
      </c>
      <c r="L8" s="18">
        <v>47</v>
      </c>
      <c r="M8" s="6">
        <f>K8*1.1187</f>
        <v>21.81465</v>
      </c>
      <c r="N8" s="6">
        <v>23.56</v>
      </c>
      <c r="O8" s="6">
        <f>N8*B19</f>
        <v>26.064427999999999</v>
      </c>
      <c r="P8" s="6">
        <f t="shared" si="1"/>
        <v>1225.028116</v>
      </c>
      <c r="Q8" s="7"/>
      <c r="R8" s="33"/>
      <c r="S8" s="7">
        <f t="shared" si="2"/>
        <v>0.19481302702541639</v>
      </c>
      <c r="T8" s="7"/>
    </row>
    <row r="9" spans="1:20">
      <c r="A9" s="53" t="s">
        <v>46</v>
      </c>
      <c r="B9" s="53" t="s">
        <v>198</v>
      </c>
      <c r="C9" s="53" t="s">
        <v>199</v>
      </c>
      <c r="D9" s="53" t="s">
        <v>200</v>
      </c>
      <c r="E9" s="53" t="s">
        <v>10</v>
      </c>
      <c r="F9" s="53" t="s">
        <v>112</v>
      </c>
      <c r="G9" s="53" t="s">
        <v>16</v>
      </c>
      <c r="H9" s="6">
        <f t="shared" si="0"/>
        <v>907.6</v>
      </c>
      <c r="I9" s="7"/>
      <c r="J9" s="53" t="s">
        <v>60</v>
      </c>
      <c r="K9" s="6">
        <v>453.8</v>
      </c>
      <c r="L9" s="18">
        <v>2</v>
      </c>
      <c r="M9" s="6">
        <f>K9</f>
        <v>453.8</v>
      </c>
      <c r="N9" s="6">
        <v>335</v>
      </c>
      <c r="O9" s="6">
        <f>N9</f>
        <v>335</v>
      </c>
      <c r="P9" s="6">
        <f t="shared" si="1"/>
        <v>670</v>
      </c>
      <c r="Q9" s="7"/>
      <c r="R9" s="33"/>
      <c r="S9" s="7">
        <f t="shared" si="2"/>
        <v>-0.2617893345085941</v>
      </c>
      <c r="T9" s="7"/>
    </row>
    <row r="10" spans="1:20">
      <c r="A10" s="53" t="s">
        <v>38</v>
      </c>
      <c r="B10" s="53" t="s">
        <v>201</v>
      </c>
      <c r="C10" s="53" t="s">
        <v>186</v>
      </c>
      <c r="D10" s="53" t="s">
        <v>202</v>
      </c>
      <c r="E10" s="53" t="s">
        <v>20</v>
      </c>
      <c r="F10" s="53" t="s">
        <v>21</v>
      </c>
      <c r="G10" s="53" t="s">
        <v>22</v>
      </c>
      <c r="H10" s="6">
        <f t="shared" si="0"/>
        <v>990.784312</v>
      </c>
      <c r="I10" s="7"/>
      <c r="J10" s="53" t="s">
        <v>203</v>
      </c>
      <c r="K10" s="6">
        <v>43.61</v>
      </c>
      <c r="L10" s="18">
        <v>28</v>
      </c>
      <c r="M10" s="6">
        <f>K10*0.8114</f>
        <v>35.385154</v>
      </c>
      <c r="N10" s="6">
        <v>46.734999999999999</v>
      </c>
      <c r="O10" s="6">
        <f>N10*B18</f>
        <v>41.281025499999998</v>
      </c>
      <c r="P10" s="6">
        <f t="shared" si="1"/>
        <v>1155.868714</v>
      </c>
      <c r="Q10" s="7"/>
      <c r="R10" s="28"/>
      <c r="S10" s="7">
        <f t="shared" si="2"/>
        <v>0.16661991918983873</v>
      </c>
      <c r="T10" s="7"/>
    </row>
    <row r="11" spans="1:20" ht="30">
      <c r="A11" s="53" t="s">
        <v>38</v>
      </c>
      <c r="B11" s="56" t="s">
        <v>105</v>
      </c>
      <c r="C11" s="53" t="s">
        <v>106</v>
      </c>
      <c r="D11" s="53" t="s">
        <v>107</v>
      </c>
      <c r="E11" s="53" t="s">
        <v>29</v>
      </c>
      <c r="F11" s="53" t="s">
        <v>108</v>
      </c>
      <c r="G11" s="53" t="s">
        <v>22</v>
      </c>
      <c r="H11" s="6">
        <f t="shared" si="0"/>
        <v>922.82144799999992</v>
      </c>
      <c r="I11" s="7"/>
      <c r="J11" s="53" t="s">
        <v>60</v>
      </c>
      <c r="K11" s="6">
        <v>284.33</v>
      </c>
      <c r="L11" s="18">
        <v>4</v>
      </c>
      <c r="M11" s="6">
        <f>K11*0.8114</f>
        <v>230.70536199999998</v>
      </c>
      <c r="N11" s="6">
        <v>236.41</v>
      </c>
      <c r="O11" s="6">
        <f>N11*B18</f>
        <v>208.820953</v>
      </c>
      <c r="P11" s="6">
        <f t="shared" si="1"/>
        <v>835.28381200000001</v>
      </c>
      <c r="Q11" s="7"/>
      <c r="R11" s="33"/>
      <c r="S11" s="7">
        <f t="shared" si="2"/>
        <v>-9.4858692534419628E-2</v>
      </c>
      <c r="T11" s="7"/>
    </row>
    <row r="12" spans="1:20" s="4" customFormat="1">
      <c r="A12" s="10"/>
      <c r="B12" s="10"/>
      <c r="C12" s="10"/>
      <c r="D12" s="10"/>
      <c r="E12" s="10"/>
      <c r="F12" s="10"/>
      <c r="G12" s="10"/>
      <c r="H12" s="11">
        <f>SUM(H2:H11)</f>
        <v>9942.9761820000022</v>
      </c>
      <c r="I12" s="12">
        <f>SUM(I2:I11)</f>
        <v>0</v>
      </c>
      <c r="J12" s="10"/>
      <c r="K12" s="11"/>
      <c r="L12" s="19"/>
      <c r="M12" s="11"/>
      <c r="N12" s="11"/>
      <c r="O12" s="11"/>
      <c r="P12" s="11">
        <f>SUM(P2:P11)</f>
        <v>9739.5904040000005</v>
      </c>
      <c r="Q12" s="12"/>
      <c r="R12" s="11"/>
      <c r="S12" s="12">
        <f t="shared" si="2"/>
        <v>-2.0455221281551052E-2</v>
      </c>
      <c r="T12" s="12"/>
    </row>
    <row r="14" spans="1:20">
      <c r="A14" s="13" t="s">
        <v>72</v>
      </c>
      <c r="B14" s="14"/>
      <c r="C14" s="14"/>
      <c r="D14" s="14"/>
      <c r="E14" s="14"/>
      <c r="F14" s="14"/>
      <c r="G14" s="14"/>
      <c r="H14" s="15"/>
      <c r="I14" s="16"/>
      <c r="J14" s="52" t="s">
        <v>170</v>
      </c>
      <c r="K14" s="15">
        <v>2089.9699999999998</v>
      </c>
      <c r="L14" s="20"/>
      <c r="M14" s="15"/>
      <c r="N14" s="15">
        <f>'170830_langfr_Geldanlage'!N14</f>
        <v>1952.83</v>
      </c>
      <c r="O14" s="15"/>
      <c r="P14" s="15"/>
      <c r="Q14" s="16"/>
      <c r="R14" s="24" t="s">
        <v>64</v>
      </c>
      <c r="S14" s="16">
        <f>(N14-K14)/K14</f>
        <v>-6.5618166767943978E-2</v>
      </c>
      <c r="T14" s="16"/>
    </row>
    <row r="17" spans="1:3">
      <c r="A17" s="35" t="s">
        <v>117</v>
      </c>
      <c r="B17" s="35"/>
    </row>
    <row r="18" spans="1:3">
      <c r="A18" s="35" t="s">
        <v>22</v>
      </c>
      <c r="B18" s="35">
        <f>'170830_langfr_Geldanlage'!B18</f>
        <v>0.88329999999999997</v>
      </c>
    </row>
    <row r="19" spans="1:3">
      <c r="A19" s="35" t="s">
        <v>151</v>
      </c>
      <c r="B19" s="1">
        <f>'170830_langfr_Geldanlage'!B19</f>
        <v>1.1063000000000001</v>
      </c>
    </row>
    <row r="20" spans="1:3">
      <c r="A20" s="50" t="s">
        <v>14</v>
      </c>
      <c r="B20" s="35">
        <v>0.63590000000000002</v>
      </c>
    </row>
    <row r="21" spans="1:3">
      <c r="A21" s="35" t="s">
        <v>42</v>
      </c>
      <c r="B21" s="1">
        <f>'170830_langfr_Geldanlage'!B21</f>
        <v>0.65880000000000005</v>
      </c>
    </row>
    <row r="24" spans="1:3">
      <c r="A24" s="50" t="s">
        <v>168</v>
      </c>
      <c r="B24" s="51">
        <f>'170830_langfr_Geldanlage'!B25</f>
        <v>43445</v>
      </c>
      <c r="C24" s="57" t="str">
        <f>'171004_langfr_Geldanlage'!C22</f>
        <v>zwischen 20:15 und 20:30 Uhr</v>
      </c>
    </row>
    <row r="25" spans="1:3">
      <c r="A25" s="50" t="s">
        <v>169</v>
      </c>
      <c r="B25" s="2">
        <v>0.75</v>
      </c>
    </row>
  </sheetData>
  <phoneticPr fontId="20" type="noConversion"/>
  <pageMargins left="0.5" right="0.5" top="0.79000000000000015" bottom="0.79000000000000015" header="0.30000000000000004" footer="0.30000000000000004"/>
  <pageSetup paperSize="9" scale="48" orientation="landscape"/>
  <headerFooter>
    <oddHeader>&amp;C&amp;"Calibri,Standard"&amp;K000000Musterdepot per 02.03.2018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24"/>
  <sheetViews>
    <sheetView zoomScale="150" zoomScaleNormal="150" zoomScalePageLayoutView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13" sqref="N13"/>
    </sheetView>
  </sheetViews>
  <sheetFormatPr baseColWidth="10" defaultRowHeight="15" x14ac:dyDescent="0"/>
  <cols>
    <col min="1" max="1" width="19" style="1" bestFit="1" customWidth="1"/>
    <col min="2" max="2" width="41" style="1" customWidth="1"/>
    <col min="3" max="3" width="19.83203125" style="1" bestFit="1" customWidth="1"/>
    <col min="4" max="4" width="10.5" style="1" bestFit="1" customWidth="1"/>
    <col min="5" max="5" width="9.5" style="1" bestFit="1" customWidth="1"/>
    <col min="6" max="6" width="12.6640625" style="1" bestFit="1" customWidth="1"/>
    <col min="7" max="7" width="8.83203125" style="1" bestFit="1" customWidth="1"/>
    <col min="8" max="8" width="10.5" style="2" customWidth="1"/>
    <col min="9" max="9" width="9.83203125" style="3" bestFit="1" customWidth="1"/>
    <col min="10" max="10" width="21.1640625" style="1" bestFit="1" customWidth="1"/>
    <col min="11" max="11" width="11.1640625" style="2" customWidth="1"/>
    <col min="12" max="12" width="7" style="21" bestFit="1" customWidth="1"/>
    <col min="13" max="13" width="8.33203125" style="2" bestFit="1" customWidth="1"/>
    <col min="14" max="16" width="10.5" style="2" customWidth="1"/>
    <col min="17" max="17" width="10.5" style="3" customWidth="1"/>
    <col min="18" max="18" width="13.1640625" style="2" bestFit="1" customWidth="1"/>
    <col min="19" max="19" width="11.83203125" style="3" customWidth="1"/>
    <col min="20" max="20" width="12.6640625" style="3" customWidth="1"/>
    <col min="21" max="16384" width="10.83203125" style="1"/>
  </cols>
  <sheetData>
    <row r="1" spans="1:20" ht="30">
      <c r="A1" s="5" t="s">
        <v>0</v>
      </c>
      <c r="B1" s="5" t="s">
        <v>2</v>
      </c>
      <c r="C1" s="5" t="s">
        <v>1</v>
      </c>
      <c r="D1" s="5" t="s">
        <v>56</v>
      </c>
      <c r="E1" s="5" t="s">
        <v>11</v>
      </c>
      <c r="F1" s="5" t="s">
        <v>12</v>
      </c>
      <c r="G1" s="5" t="s">
        <v>13</v>
      </c>
      <c r="H1" s="63" t="s">
        <v>217</v>
      </c>
      <c r="I1" s="7" t="s">
        <v>3</v>
      </c>
      <c r="J1" s="5" t="s">
        <v>51</v>
      </c>
      <c r="K1" s="8" t="s">
        <v>71</v>
      </c>
      <c r="L1" s="17" t="s">
        <v>73</v>
      </c>
      <c r="M1" s="6" t="s">
        <v>55</v>
      </c>
      <c r="N1" s="49" t="s">
        <v>165</v>
      </c>
      <c r="O1" s="49" t="s">
        <v>166</v>
      </c>
      <c r="P1" s="49" t="s">
        <v>167</v>
      </c>
      <c r="Q1" s="7" t="s">
        <v>3</v>
      </c>
      <c r="R1" s="5" t="s">
        <v>51</v>
      </c>
      <c r="S1" s="9" t="s">
        <v>70</v>
      </c>
      <c r="T1" s="23" t="s">
        <v>74</v>
      </c>
    </row>
    <row r="2" spans="1:20" ht="30">
      <c r="A2" s="61" t="s">
        <v>176</v>
      </c>
      <c r="B2" s="62" t="s">
        <v>222</v>
      </c>
      <c r="C2" s="61" t="s">
        <v>208</v>
      </c>
      <c r="D2" s="61" t="s">
        <v>210</v>
      </c>
      <c r="E2" s="61" t="s">
        <v>10</v>
      </c>
      <c r="F2" s="61" t="s">
        <v>15</v>
      </c>
      <c r="G2" s="61" t="s">
        <v>16</v>
      </c>
      <c r="H2" s="6">
        <f t="shared" ref="H2:H10" si="0">M2*L2</f>
        <v>1046.6500000000001</v>
      </c>
      <c r="I2" s="7">
        <f>H2/H11</f>
        <v>0.11321168800391755</v>
      </c>
      <c r="J2" s="61" t="s">
        <v>207</v>
      </c>
      <c r="K2" s="6">
        <v>95.15</v>
      </c>
      <c r="L2" s="18">
        <v>11</v>
      </c>
      <c r="M2" s="6">
        <f>K2</f>
        <v>95.15</v>
      </c>
      <c r="N2" s="6">
        <v>71.849999999999994</v>
      </c>
      <c r="O2" s="6">
        <f>N2</f>
        <v>71.849999999999994</v>
      </c>
      <c r="P2" s="6">
        <f t="shared" ref="P2:P10" si="1">L2*O2</f>
        <v>790.34999999999991</v>
      </c>
      <c r="Q2" s="7"/>
      <c r="R2" s="26"/>
      <c r="S2" s="7">
        <f t="shared" ref="S2:S11" si="2">(P2-H2)/H2</f>
        <v>-0.24487651077246469</v>
      </c>
      <c r="T2" s="7"/>
    </row>
    <row r="3" spans="1:20" ht="30">
      <c r="A3" s="61" t="s">
        <v>4</v>
      </c>
      <c r="B3" s="62" t="s">
        <v>226</v>
      </c>
      <c r="C3" s="62" t="s">
        <v>227</v>
      </c>
      <c r="D3" s="61" t="s">
        <v>228</v>
      </c>
      <c r="E3" s="61" t="s">
        <v>20</v>
      </c>
      <c r="F3" s="61" t="s">
        <v>21</v>
      </c>
      <c r="G3" s="61" t="s">
        <v>22</v>
      </c>
      <c r="H3" s="6">
        <f t="shared" si="0"/>
        <v>1011.1920280000001</v>
      </c>
      <c r="I3" s="7"/>
      <c r="J3" s="61" t="s">
        <v>229</v>
      </c>
      <c r="K3" s="6">
        <v>41.09</v>
      </c>
      <c r="L3" s="18">
        <v>28</v>
      </c>
      <c r="M3" s="6">
        <f>K3*0.8789</f>
        <v>36.114001000000002</v>
      </c>
      <c r="N3" s="6">
        <v>41.8</v>
      </c>
      <c r="O3" s="6">
        <f>N3*B17</f>
        <v>36.921939999999999</v>
      </c>
      <c r="P3" s="6">
        <f t="shared" si="1"/>
        <v>1033.81432</v>
      </c>
      <c r="Q3" s="7"/>
      <c r="R3" s="28"/>
      <c r="S3" s="7">
        <f t="shared" si="2"/>
        <v>2.2371905012684594E-2</v>
      </c>
      <c r="T3" s="7"/>
    </row>
    <row r="4" spans="1:20">
      <c r="A4" s="61" t="s">
        <v>4</v>
      </c>
      <c r="B4" s="61" t="s">
        <v>230</v>
      </c>
      <c r="C4" s="61" t="s">
        <v>231</v>
      </c>
      <c r="D4" s="61" t="s">
        <v>232</v>
      </c>
      <c r="E4" s="61" t="s">
        <v>10</v>
      </c>
      <c r="F4" s="61" t="s">
        <v>89</v>
      </c>
      <c r="G4" s="61" t="s">
        <v>90</v>
      </c>
      <c r="H4" s="6">
        <f t="shared" si="0"/>
        <v>994.99572000000012</v>
      </c>
      <c r="I4" s="7">
        <f>(H3+H4)/H11</f>
        <v>0.21700081345612954</v>
      </c>
      <c r="J4" s="61" t="s">
        <v>242</v>
      </c>
      <c r="K4" s="6">
        <v>66.45</v>
      </c>
      <c r="L4" s="18">
        <v>17</v>
      </c>
      <c r="M4" s="6">
        <f>K4*0.8808</f>
        <v>58.529160000000005</v>
      </c>
      <c r="N4" s="6">
        <v>62.75</v>
      </c>
      <c r="O4" s="6">
        <f>N4*B19</f>
        <v>55.784750000000003</v>
      </c>
      <c r="P4" s="6">
        <f t="shared" si="1"/>
        <v>948.34075000000007</v>
      </c>
      <c r="Q4" s="7"/>
      <c r="R4" s="33"/>
      <c r="S4" s="7">
        <f t="shared" si="2"/>
        <v>-4.6889618781475809E-2</v>
      </c>
      <c r="T4" s="7"/>
    </row>
    <row r="5" spans="1:20">
      <c r="A5" s="61" t="s">
        <v>158</v>
      </c>
      <c r="B5" s="61" t="s">
        <v>234</v>
      </c>
      <c r="C5" s="61" t="s">
        <v>233</v>
      </c>
      <c r="D5" s="61" t="s">
        <v>235</v>
      </c>
      <c r="E5" s="61" t="s">
        <v>20</v>
      </c>
      <c r="F5" s="61" t="s">
        <v>21</v>
      </c>
      <c r="G5" s="61" t="s">
        <v>22</v>
      </c>
      <c r="H5" s="6">
        <f t="shared" si="0"/>
        <v>1017.9771360000001</v>
      </c>
      <c r="I5" s="7">
        <f>H5/H11</f>
        <v>0.11011026600673916</v>
      </c>
      <c r="J5" s="61" t="s">
        <v>236</v>
      </c>
      <c r="K5" s="6">
        <v>60.96</v>
      </c>
      <c r="L5" s="18">
        <v>19</v>
      </c>
      <c r="M5" s="6">
        <f>K5*0.8789</f>
        <v>53.577744000000003</v>
      </c>
      <c r="N5" s="6">
        <v>55.58</v>
      </c>
      <c r="O5" s="6">
        <f>N5*B17</f>
        <v>49.093813999999995</v>
      </c>
      <c r="P5" s="6">
        <f t="shared" si="1"/>
        <v>932.78246599999989</v>
      </c>
      <c r="Q5" s="7"/>
      <c r="R5" s="22"/>
      <c r="S5" s="7">
        <f t="shared" si="2"/>
        <v>-8.3690160601013919E-2</v>
      </c>
      <c r="T5" s="7"/>
    </row>
    <row r="6" spans="1:20">
      <c r="A6" s="61" t="s">
        <v>214</v>
      </c>
      <c r="B6" s="61" t="s">
        <v>220</v>
      </c>
      <c r="C6" s="61" t="s">
        <v>215</v>
      </c>
      <c r="D6" s="61" t="s">
        <v>216</v>
      </c>
      <c r="E6" s="61" t="s">
        <v>29</v>
      </c>
      <c r="F6" s="61" t="s">
        <v>108</v>
      </c>
      <c r="G6" s="61" t="s">
        <v>22</v>
      </c>
      <c r="H6" s="6">
        <f t="shared" si="0"/>
        <v>1058.1340770000002</v>
      </c>
      <c r="I6" s="7">
        <f>H6/H11</f>
        <v>0.11445387186895073</v>
      </c>
      <c r="J6" s="61" t="s">
        <v>218</v>
      </c>
      <c r="K6" s="6">
        <v>171.99</v>
      </c>
      <c r="L6" s="18">
        <v>7</v>
      </c>
      <c r="M6" s="6">
        <f>K6*0.8789</f>
        <v>151.16201100000001</v>
      </c>
      <c r="N6" s="6">
        <v>151.22999999999999</v>
      </c>
      <c r="O6" s="6">
        <f>N6*B17</f>
        <v>133.581459</v>
      </c>
      <c r="P6" s="6">
        <f t="shared" si="1"/>
        <v>935.07021299999997</v>
      </c>
      <c r="Q6" s="7"/>
      <c r="R6" s="28"/>
      <c r="S6" s="7">
        <f t="shared" si="2"/>
        <v>-0.11630271312016367</v>
      </c>
      <c r="T6" s="7"/>
    </row>
    <row r="7" spans="1:20" ht="30">
      <c r="A7" s="61" t="s">
        <v>26</v>
      </c>
      <c r="B7" s="62" t="s">
        <v>221</v>
      </c>
      <c r="C7" s="61" t="s">
        <v>211</v>
      </c>
      <c r="D7" s="61" t="s">
        <v>212</v>
      </c>
      <c r="E7" s="61" t="s">
        <v>20</v>
      </c>
      <c r="F7" s="61" t="s">
        <v>21</v>
      </c>
      <c r="G7" s="61" t="s">
        <v>22</v>
      </c>
      <c r="H7" s="6">
        <f t="shared" si="0"/>
        <v>1071.2912100000001</v>
      </c>
      <c r="I7" s="7"/>
      <c r="J7" s="61" t="s">
        <v>213</v>
      </c>
      <c r="K7" s="6">
        <v>203.15</v>
      </c>
      <c r="L7" s="18">
        <v>6</v>
      </c>
      <c r="M7" s="6">
        <f>K7*0.8789</f>
        <v>178.54853500000002</v>
      </c>
      <c r="N7" s="6">
        <v>196.7</v>
      </c>
      <c r="O7" s="6">
        <f>N7*B17</f>
        <v>173.74510999999998</v>
      </c>
      <c r="P7" s="6">
        <f t="shared" si="1"/>
        <v>1042.47066</v>
      </c>
      <c r="Q7" s="7"/>
      <c r="R7" s="33"/>
      <c r="S7" s="7">
        <f t="shared" si="2"/>
        <v>-2.6902629024651604E-2</v>
      </c>
      <c r="T7" s="7"/>
    </row>
    <row r="8" spans="1:20" ht="30">
      <c r="A8" s="61" t="s">
        <v>26</v>
      </c>
      <c r="B8" s="62" t="s">
        <v>237</v>
      </c>
      <c r="C8" s="61" t="s">
        <v>238</v>
      </c>
      <c r="D8" s="61" t="s">
        <v>239</v>
      </c>
      <c r="E8" s="61" t="s">
        <v>10</v>
      </c>
      <c r="F8" s="61" t="s">
        <v>49</v>
      </c>
      <c r="G8" s="61" t="s">
        <v>50</v>
      </c>
      <c r="H8" s="6">
        <f t="shared" si="0"/>
        <v>1007.8210499999999</v>
      </c>
      <c r="I8" s="7">
        <f>(H7+H8)/H11</f>
        <v>0.22488874839176409</v>
      </c>
      <c r="J8" s="61" t="s">
        <v>240</v>
      </c>
      <c r="K8" s="6">
        <v>181.95</v>
      </c>
      <c r="L8" s="18">
        <v>58</v>
      </c>
      <c r="M8" s="6">
        <f>K8*0.0955</f>
        <v>17.376224999999998</v>
      </c>
      <c r="N8" s="6">
        <v>165.83</v>
      </c>
      <c r="O8" s="6">
        <f>N8*B20</f>
        <v>16.118676000000001</v>
      </c>
      <c r="P8" s="6">
        <f t="shared" si="1"/>
        <v>934.88320800000008</v>
      </c>
      <c r="Q8" s="7"/>
      <c r="R8" s="33"/>
      <c r="S8" s="7">
        <f t="shared" si="2"/>
        <v>-7.2371818389782419E-2</v>
      </c>
      <c r="T8" s="7"/>
    </row>
    <row r="9" spans="1:20" ht="30">
      <c r="A9" s="61" t="s">
        <v>38</v>
      </c>
      <c r="B9" s="62" t="s">
        <v>219</v>
      </c>
      <c r="C9" s="61" t="s">
        <v>223</v>
      </c>
      <c r="D9" s="61" t="s">
        <v>224</v>
      </c>
      <c r="E9" s="61" t="s">
        <v>29</v>
      </c>
      <c r="F9" s="61" t="s">
        <v>108</v>
      </c>
      <c r="G9" s="61" t="s">
        <v>22</v>
      </c>
      <c r="H9" s="6">
        <f t="shared" si="0"/>
        <v>1010.9107800000002</v>
      </c>
      <c r="I9" s="7"/>
      <c r="J9" s="61" t="s">
        <v>225</v>
      </c>
      <c r="K9" s="6">
        <v>42.6</v>
      </c>
      <c r="L9" s="18">
        <v>27</v>
      </c>
      <c r="M9" s="6">
        <f>K9*0.8789</f>
        <v>37.441140000000004</v>
      </c>
      <c r="N9" s="6">
        <v>39.799999999999997</v>
      </c>
      <c r="O9" s="6">
        <f>N9*B17</f>
        <v>35.155339999999995</v>
      </c>
      <c r="P9" s="6">
        <f t="shared" si="1"/>
        <v>949.19417999999985</v>
      </c>
      <c r="Q9" s="7"/>
      <c r="R9" s="28"/>
      <c r="S9" s="7">
        <f t="shared" si="2"/>
        <v>-6.1050491518153858E-2</v>
      </c>
      <c r="T9" s="7"/>
    </row>
    <row r="10" spans="1:20" ht="30">
      <c r="A10" s="61" t="s">
        <v>38</v>
      </c>
      <c r="B10" s="62" t="s">
        <v>206</v>
      </c>
      <c r="C10" s="61" t="s">
        <v>205</v>
      </c>
      <c r="D10" s="61" t="s">
        <v>209</v>
      </c>
      <c r="E10" s="61" t="s">
        <v>20</v>
      </c>
      <c r="F10" s="61" t="s">
        <v>21</v>
      </c>
      <c r="G10" s="61" t="s">
        <v>22</v>
      </c>
      <c r="H10" s="6">
        <f t="shared" si="0"/>
        <v>1026.098172</v>
      </c>
      <c r="I10" s="7">
        <f>(H9+H10)/H11</f>
        <v>0.22033461227249898</v>
      </c>
      <c r="J10" s="61" t="s">
        <v>207</v>
      </c>
      <c r="K10" s="6">
        <v>64.86</v>
      </c>
      <c r="L10" s="18">
        <v>18</v>
      </c>
      <c r="M10" s="6">
        <f>K10*0.8789</f>
        <v>57.005454</v>
      </c>
      <c r="N10" s="6">
        <v>54.38</v>
      </c>
      <c r="O10" s="6">
        <f>N10*B17</f>
        <v>48.033853999999998</v>
      </c>
      <c r="P10" s="6">
        <f t="shared" si="1"/>
        <v>864.60937200000001</v>
      </c>
      <c r="Q10" s="7"/>
      <c r="R10" s="33"/>
      <c r="S10" s="7">
        <f t="shared" si="2"/>
        <v>-0.15738143230996807</v>
      </c>
      <c r="T10" s="7"/>
    </row>
    <row r="11" spans="1:20" s="4" customFormat="1">
      <c r="A11" s="10"/>
      <c r="B11" s="10"/>
      <c r="C11" s="10"/>
      <c r="D11" s="10"/>
      <c r="E11" s="10"/>
      <c r="F11" s="10"/>
      <c r="G11" s="10"/>
      <c r="H11" s="11">
        <f>SUM(H2:H10)</f>
        <v>9245.0701730000001</v>
      </c>
      <c r="I11" s="12">
        <f>SUM(I2:I10)</f>
        <v>1</v>
      </c>
      <c r="J11" s="10"/>
      <c r="K11" s="11"/>
      <c r="L11" s="19"/>
      <c r="M11" s="11"/>
      <c r="N11" s="11"/>
      <c r="O11" s="11"/>
      <c r="P11" s="11">
        <f>SUM(P2:P10)</f>
        <v>8431.5151690000002</v>
      </c>
      <c r="Q11" s="12"/>
      <c r="R11" s="11"/>
      <c r="S11" s="12">
        <f t="shared" si="2"/>
        <v>-8.7998791656116057E-2</v>
      </c>
      <c r="T11" s="12"/>
    </row>
    <row r="13" spans="1:20">
      <c r="A13" s="13" t="s">
        <v>72</v>
      </c>
      <c r="B13" s="14"/>
      <c r="C13" s="14"/>
      <c r="D13" s="14"/>
      <c r="E13" s="14"/>
      <c r="F13" s="14"/>
      <c r="G13" s="14"/>
      <c r="H13" s="15"/>
      <c r="I13" s="16"/>
      <c r="J13" s="60" t="s">
        <v>241</v>
      </c>
      <c r="K13" s="15">
        <v>2131.0500000000002</v>
      </c>
      <c r="L13" s="20"/>
      <c r="M13" s="15"/>
      <c r="N13" s="15">
        <f>'170830_langfr_Geldanlage'!N14</f>
        <v>1952.83</v>
      </c>
      <c r="O13" s="15"/>
      <c r="P13" s="15"/>
      <c r="Q13" s="16"/>
      <c r="R13" s="24" t="s">
        <v>64</v>
      </c>
      <c r="S13" s="16">
        <f>(N13-K13)/K13</f>
        <v>-8.3630135379273246E-2</v>
      </c>
      <c r="T13" s="16"/>
    </row>
    <row r="16" spans="1:20">
      <c r="A16" s="35" t="s">
        <v>117</v>
      </c>
      <c r="B16" s="35"/>
    </row>
    <row r="17" spans="1:3">
      <c r="A17" s="35" t="s">
        <v>22</v>
      </c>
      <c r="B17" s="35">
        <f>'170830_langfr_Geldanlage'!B18</f>
        <v>0.88329999999999997</v>
      </c>
    </row>
    <row r="18" spans="1:3">
      <c r="A18" s="35" t="s">
        <v>151</v>
      </c>
      <c r="B18" s="1">
        <f>'170830_langfr_Geldanlage'!B19</f>
        <v>1.1063000000000001</v>
      </c>
    </row>
    <row r="19" spans="1:3">
      <c r="A19" s="64" t="s">
        <v>90</v>
      </c>
      <c r="B19" s="35">
        <f>'171004_langfr_Geldanlage'!B18</f>
        <v>0.88900000000000001</v>
      </c>
    </row>
    <row r="20" spans="1:3">
      <c r="A20" s="64" t="s">
        <v>50</v>
      </c>
      <c r="B20" s="1">
        <f>'170830_langfr_Geldanlage'!B22</f>
        <v>9.7199999999999995E-2</v>
      </c>
    </row>
    <row r="23" spans="1:3">
      <c r="A23" s="50" t="s">
        <v>168</v>
      </c>
      <c r="B23" s="51">
        <f>'170830_langfr_Geldanlage'!B25</f>
        <v>43445</v>
      </c>
      <c r="C23" s="57" t="str">
        <f>'171004_langfr_Geldanlage'!C22</f>
        <v>zwischen 20:15 und 20:30 Uhr</v>
      </c>
    </row>
    <row r="24" spans="1:3">
      <c r="A24" s="50" t="s">
        <v>169</v>
      </c>
      <c r="B24" s="2">
        <v>0.33</v>
      </c>
    </row>
  </sheetData>
  <pageMargins left="0.5" right="0.5" top="0.79000000000000015" bottom="0.79000000000000015" header="0.30000000000000004" footer="0.30000000000000004"/>
  <pageSetup paperSize="9" scale="48" orientation="landscape"/>
  <headerFooter>
    <oddHeader>&amp;C&amp;"Calibri,Standard"&amp;K000000Musterdepot per 02.03.2018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24"/>
  <sheetViews>
    <sheetView zoomScale="150" zoomScaleNormal="150" zoomScalePageLayoutView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11" sqref="N11"/>
    </sheetView>
  </sheetViews>
  <sheetFormatPr baseColWidth="10" defaultRowHeight="15" x14ac:dyDescent="0"/>
  <cols>
    <col min="1" max="1" width="19" style="1" bestFit="1" customWidth="1"/>
    <col min="2" max="2" width="41.83203125" style="1" customWidth="1"/>
    <col min="3" max="3" width="25.33203125" style="1" customWidth="1"/>
    <col min="4" max="4" width="10.5" style="1" bestFit="1" customWidth="1"/>
    <col min="5" max="5" width="9.5" style="1" bestFit="1" customWidth="1"/>
    <col min="6" max="6" width="12.6640625" style="1" bestFit="1" customWidth="1"/>
    <col min="7" max="7" width="8.83203125" style="1" bestFit="1" customWidth="1"/>
    <col min="8" max="8" width="10.5" style="2" customWidth="1"/>
    <col min="9" max="9" width="9.83203125" style="3" bestFit="1" customWidth="1"/>
    <col min="10" max="10" width="21.1640625" style="1" bestFit="1" customWidth="1"/>
    <col min="11" max="11" width="11.1640625" style="2" customWidth="1"/>
    <col min="12" max="12" width="7" style="21" bestFit="1" customWidth="1"/>
    <col min="13" max="13" width="8.33203125" style="2" bestFit="1" customWidth="1"/>
    <col min="14" max="16" width="10.5" style="2" customWidth="1"/>
    <col min="17" max="17" width="10.5" style="3" customWidth="1"/>
    <col min="18" max="18" width="13.1640625" style="2" bestFit="1" customWidth="1"/>
    <col min="19" max="19" width="11.83203125" style="3" customWidth="1"/>
    <col min="20" max="20" width="12.6640625" style="3" customWidth="1"/>
    <col min="21" max="16384" width="10.83203125" style="1"/>
  </cols>
  <sheetData>
    <row r="1" spans="1:20" ht="30">
      <c r="A1" s="5" t="s">
        <v>0</v>
      </c>
      <c r="B1" s="5" t="s">
        <v>2</v>
      </c>
      <c r="C1" s="5" t="s">
        <v>1</v>
      </c>
      <c r="D1" s="5" t="s">
        <v>56</v>
      </c>
      <c r="E1" s="5" t="s">
        <v>11</v>
      </c>
      <c r="F1" s="5" t="s">
        <v>12</v>
      </c>
      <c r="G1" s="5" t="s">
        <v>13</v>
      </c>
      <c r="H1" s="71" t="s">
        <v>276</v>
      </c>
      <c r="I1" s="7" t="s">
        <v>3</v>
      </c>
      <c r="J1" s="5" t="s">
        <v>51</v>
      </c>
      <c r="K1" s="8" t="s">
        <v>71</v>
      </c>
      <c r="L1" s="17" t="s">
        <v>73</v>
      </c>
      <c r="M1" s="6" t="s">
        <v>55</v>
      </c>
      <c r="N1" s="49" t="s">
        <v>165</v>
      </c>
      <c r="O1" s="49" t="s">
        <v>166</v>
      </c>
      <c r="P1" s="49" t="s">
        <v>167</v>
      </c>
      <c r="Q1" s="7" t="s">
        <v>3</v>
      </c>
      <c r="R1" s="5" t="s">
        <v>51</v>
      </c>
      <c r="S1" s="9" t="s">
        <v>70</v>
      </c>
      <c r="T1" s="23" t="s">
        <v>74</v>
      </c>
    </row>
    <row r="2" spans="1:20" ht="30" customHeight="1">
      <c r="A2" s="69" t="s">
        <v>4</v>
      </c>
      <c r="B2" s="68" t="s">
        <v>266</v>
      </c>
      <c r="C2" s="69" t="s">
        <v>267</v>
      </c>
      <c r="D2" s="69" t="s">
        <v>268</v>
      </c>
      <c r="E2" s="69" t="s">
        <v>10</v>
      </c>
      <c r="F2" s="69" t="s">
        <v>112</v>
      </c>
      <c r="G2" s="61" t="s">
        <v>16</v>
      </c>
      <c r="H2" s="6">
        <f t="shared" ref="H2:H10" si="0">M2*L2</f>
        <v>1033.3399999999999</v>
      </c>
      <c r="I2" s="7"/>
      <c r="J2" s="69" t="s">
        <v>269</v>
      </c>
      <c r="K2" s="6">
        <v>93.94</v>
      </c>
      <c r="L2" s="18">
        <v>11</v>
      </c>
      <c r="M2" s="6">
        <f>K2</f>
        <v>93.94</v>
      </c>
      <c r="N2" s="6">
        <v>92.78</v>
      </c>
      <c r="O2" s="6">
        <f>N2</f>
        <v>92.78</v>
      </c>
      <c r="P2" s="6">
        <f t="shared" ref="P2:P10" si="1">L2*O2</f>
        <v>1020.58</v>
      </c>
      <c r="Q2" s="7"/>
      <c r="R2" s="26"/>
      <c r="S2" s="7">
        <f t="shared" ref="S2:S11" si="2">(P2-H2)/H2</f>
        <v>-1.2348307430274525E-2</v>
      </c>
      <c r="T2" s="7"/>
    </row>
    <row r="3" spans="1:20">
      <c r="A3" s="61" t="s">
        <v>4</v>
      </c>
      <c r="B3" s="68" t="s">
        <v>257</v>
      </c>
      <c r="C3" s="68" t="s">
        <v>258</v>
      </c>
      <c r="D3" s="69" t="s">
        <v>259</v>
      </c>
      <c r="E3" s="69" t="s">
        <v>10</v>
      </c>
      <c r="F3" s="69" t="s">
        <v>15</v>
      </c>
      <c r="G3" s="69" t="s">
        <v>16</v>
      </c>
      <c r="H3" s="6">
        <f t="shared" si="0"/>
        <v>1014.7500000000001</v>
      </c>
      <c r="I3" s="7">
        <f>(H2+H3)/H11</f>
        <v>0.22135271582297517</v>
      </c>
      <c r="J3" s="69" t="s">
        <v>260</v>
      </c>
      <c r="K3" s="6">
        <v>67.650000000000006</v>
      </c>
      <c r="L3" s="18">
        <v>15</v>
      </c>
      <c r="M3" s="6">
        <f>K3</f>
        <v>67.650000000000006</v>
      </c>
      <c r="N3" s="6">
        <v>59.08</v>
      </c>
      <c r="O3" s="6">
        <f>N3</f>
        <v>59.08</v>
      </c>
      <c r="P3" s="6">
        <f t="shared" si="1"/>
        <v>886.19999999999993</v>
      </c>
      <c r="Q3" s="7"/>
      <c r="R3" s="28"/>
      <c r="S3" s="7">
        <f t="shared" si="2"/>
        <v>-0.12668144863266831</v>
      </c>
      <c r="T3" s="7"/>
    </row>
    <row r="4" spans="1:20">
      <c r="A4" s="67" t="s">
        <v>158</v>
      </c>
      <c r="B4" s="67" t="s">
        <v>252</v>
      </c>
      <c r="C4" s="67" t="s">
        <v>251</v>
      </c>
      <c r="D4" s="67" t="s">
        <v>253</v>
      </c>
      <c r="E4" s="67" t="s">
        <v>10</v>
      </c>
      <c r="F4" s="67" t="s">
        <v>34</v>
      </c>
      <c r="G4" s="67" t="s">
        <v>130</v>
      </c>
      <c r="H4" s="6">
        <f t="shared" si="0"/>
        <v>1024.740288</v>
      </c>
      <c r="I4" s="7">
        <f>(H4)/H11</f>
        <v>0.11075150299157639</v>
      </c>
      <c r="J4" s="69" t="s">
        <v>274</v>
      </c>
      <c r="K4" s="6">
        <v>41.47</v>
      </c>
      <c r="L4" s="18">
        <v>22</v>
      </c>
      <c r="M4" s="6">
        <f>K4*1.1232</f>
        <v>46.579104000000001</v>
      </c>
      <c r="N4" s="6">
        <v>42.01</v>
      </c>
      <c r="O4" s="6">
        <f>N4*B18</f>
        <v>46.475662999999997</v>
      </c>
      <c r="P4" s="6">
        <f t="shared" si="1"/>
        <v>1022.4645859999999</v>
      </c>
      <c r="Q4" s="7"/>
      <c r="R4" s="33"/>
      <c r="S4" s="7">
        <f t="shared" si="2"/>
        <v>-2.2207597638632354E-3</v>
      </c>
      <c r="T4" s="7"/>
    </row>
    <row r="5" spans="1:20">
      <c r="A5" s="61" t="s">
        <v>158</v>
      </c>
      <c r="B5" s="67" t="s">
        <v>247</v>
      </c>
      <c r="C5" s="67" t="s">
        <v>248</v>
      </c>
      <c r="D5" s="67" t="s">
        <v>249</v>
      </c>
      <c r="E5" s="61" t="s">
        <v>20</v>
      </c>
      <c r="F5" s="61" t="s">
        <v>21</v>
      </c>
      <c r="G5" s="61" t="s">
        <v>22</v>
      </c>
      <c r="H5" s="6">
        <f t="shared" si="0"/>
        <v>1045.1644920000001</v>
      </c>
      <c r="I5" s="7">
        <f>H5/H11</f>
        <v>0.11295890258042381</v>
      </c>
      <c r="J5" s="67" t="s">
        <v>250</v>
      </c>
      <c r="K5" s="6">
        <v>66.39</v>
      </c>
      <c r="L5" s="18">
        <v>18</v>
      </c>
      <c r="M5" s="6">
        <f>K5*0.8746</f>
        <v>58.064694000000003</v>
      </c>
      <c r="N5" s="6">
        <v>65.06</v>
      </c>
      <c r="O5" s="6">
        <f>N5*B17</f>
        <v>57.467497999999999</v>
      </c>
      <c r="P5" s="6">
        <f t="shared" si="1"/>
        <v>1034.4149640000001</v>
      </c>
      <c r="Q5" s="7"/>
      <c r="R5" s="22"/>
      <c r="S5" s="7">
        <f t="shared" si="2"/>
        <v>-1.0285010715806115E-2</v>
      </c>
      <c r="T5" s="7"/>
    </row>
    <row r="6" spans="1:20">
      <c r="A6" s="61" t="s">
        <v>214</v>
      </c>
      <c r="B6" s="69" t="s">
        <v>262</v>
      </c>
      <c r="C6" s="69" t="s">
        <v>263</v>
      </c>
      <c r="D6" s="69" t="s">
        <v>264</v>
      </c>
      <c r="E6" s="69" t="s">
        <v>10</v>
      </c>
      <c r="F6" s="69" t="s">
        <v>112</v>
      </c>
      <c r="G6" s="69" t="s">
        <v>16</v>
      </c>
      <c r="H6" s="6">
        <f t="shared" si="0"/>
        <v>1020.6</v>
      </c>
      <c r="I6" s="7">
        <f>H6/H11</f>
        <v>0.1103040304717705</v>
      </c>
      <c r="J6" s="69" t="s">
        <v>265</v>
      </c>
      <c r="K6" s="6">
        <v>255.15</v>
      </c>
      <c r="L6" s="18">
        <v>4</v>
      </c>
      <c r="M6" s="6">
        <f>K6</f>
        <v>255.15</v>
      </c>
      <c r="N6" s="6">
        <v>249.4</v>
      </c>
      <c r="O6" s="6">
        <f>N6</f>
        <v>249.4</v>
      </c>
      <c r="P6" s="6">
        <f t="shared" si="1"/>
        <v>997.6</v>
      </c>
      <c r="Q6" s="7"/>
      <c r="R6" s="28"/>
      <c r="S6" s="7">
        <f t="shared" si="2"/>
        <v>-2.2535763276504018E-2</v>
      </c>
      <c r="T6" s="7"/>
    </row>
    <row r="7" spans="1:20" ht="30" customHeight="1">
      <c r="A7" s="61" t="s">
        <v>26</v>
      </c>
      <c r="B7" s="66" t="s">
        <v>246</v>
      </c>
      <c r="C7" s="67" t="s">
        <v>185</v>
      </c>
      <c r="D7" s="67" t="s">
        <v>191</v>
      </c>
      <c r="E7" s="67" t="s">
        <v>10</v>
      </c>
      <c r="F7" s="67" t="s">
        <v>15</v>
      </c>
      <c r="G7" s="67" t="s">
        <v>16</v>
      </c>
      <c r="H7" s="6">
        <f t="shared" si="0"/>
        <v>1027</v>
      </c>
      <c r="I7" s="7"/>
      <c r="J7" s="69" t="s">
        <v>275</v>
      </c>
      <c r="K7" s="6">
        <v>513.5</v>
      </c>
      <c r="L7" s="18">
        <v>2</v>
      </c>
      <c r="M7" s="6">
        <f>K7</f>
        <v>513.5</v>
      </c>
      <c r="N7" s="6">
        <v>463.4</v>
      </c>
      <c r="O7" s="6">
        <f>N7</f>
        <v>463.4</v>
      </c>
      <c r="P7" s="6">
        <f t="shared" si="1"/>
        <v>926.8</v>
      </c>
      <c r="Q7" s="7"/>
      <c r="R7" s="33"/>
      <c r="S7" s="7">
        <f t="shared" si="2"/>
        <v>-9.7565725413826729E-2</v>
      </c>
      <c r="T7" s="7"/>
    </row>
    <row r="8" spans="1:20" ht="30">
      <c r="A8" s="61" t="s">
        <v>26</v>
      </c>
      <c r="B8" s="66" t="s">
        <v>243</v>
      </c>
      <c r="C8" s="67" t="s">
        <v>244</v>
      </c>
      <c r="D8" s="67" t="s">
        <v>245</v>
      </c>
      <c r="E8" s="61" t="s">
        <v>10</v>
      </c>
      <c r="F8" s="67" t="s">
        <v>89</v>
      </c>
      <c r="G8" s="67" t="s">
        <v>90</v>
      </c>
      <c r="H8" s="6">
        <f t="shared" si="0"/>
        <v>1049.1519000000001</v>
      </c>
      <c r="I8" s="7">
        <f>(H7+H8)/H11</f>
        <v>0.22438557950384497</v>
      </c>
      <c r="J8" s="69" t="s">
        <v>278</v>
      </c>
      <c r="K8" s="6">
        <v>198.5</v>
      </c>
      <c r="L8" s="18">
        <v>6</v>
      </c>
      <c r="M8" s="6">
        <f>K8*0.8809</f>
        <v>174.85865000000001</v>
      </c>
      <c r="N8" s="6">
        <v>196.4</v>
      </c>
      <c r="O8" s="6">
        <f>N8*B19</f>
        <v>174.59960000000001</v>
      </c>
      <c r="P8" s="6">
        <f t="shared" si="1"/>
        <v>1047.5976000000001</v>
      </c>
      <c r="Q8" s="7"/>
      <c r="R8" s="33"/>
      <c r="S8" s="7">
        <f t="shared" si="2"/>
        <v>-1.4814823287266714E-3</v>
      </c>
      <c r="T8" s="7"/>
    </row>
    <row r="9" spans="1:20">
      <c r="A9" s="67" t="s">
        <v>46</v>
      </c>
      <c r="B9" s="66" t="s">
        <v>254</v>
      </c>
      <c r="C9" s="67" t="s">
        <v>255</v>
      </c>
      <c r="D9" s="67" t="s">
        <v>256</v>
      </c>
      <c r="E9" s="67" t="s">
        <v>20</v>
      </c>
      <c r="F9" s="67" t="s">
        <v>21</v>
      </c>
      <c r="G9" s="61" t="s">
        <v>22</v>
      </c>
      <c r="H9" s="6">
        <f t="shared" si="0"/>
        <v>1085.3436160000001</v>
      </c>
      <c r="I9" s="7">
        <f>(H9)/H11</f>
        <v>0.11730136712875326</v>
      </c>
      <c r="J9" s="69" t="s">
        <v>279</v>
      </c>
      <c r="K9" s="6">
        <v>177.28</v>
      </c>
      <c r="L9" s="18">
        <v>7</v>
      </c>
      <c r="M9" s="6">
        <f>K9*0.8746</f>
        <v>155.04908800000001</v>
      </c>
      <c r="N9" s="6">
        <v>166.78</v>
      </c>
      <c r="O9" s="6">
        <f>N9*B17</f>
        <v>147.31677400000001</v>
      </c>
      <c r="P9" s="6">
        <f t="shared" si="1"/>
        <v>1031.2174180000002</v>
      </c>
      <c r="Q9" s="7"/>
      <c r="R9" s="28"/>
      <c r="S9" s="7">
        <f t="shared" si="2"/>
        <v>-4.9870103073421428E-2</v>
      </c>
      <c r="T9" s="7"/>
    </row>
    <row r="10" spans="1:20">
      <c r="A10" s="61" t="s">
        <v>38</v>
      </c>
      <c r="B10" s="68" t="s">
        <v>270</v>
      </c>
      <c r="C10" s="69" t="s">
        <v>261</v>
      </c>
      <c r="D10" s="69" t="s">
        <v>271</v>
      </c>
      <c r="E10" s="69" t="s">
        <v>20</v>
      </c>
      <c r="F10" s="69" t="s">
        <v>21</v>
      </c>
      <c r="G10" s="61" t="s">
        <v>22</v>
      </c>
      <c r="H10" s="6">
        <f t="shared" si="0"/>
        <v>952.5181140000002</v>
      </c>
      <c r="I10" s="7">
        <f>H10/H11</f>
        <v>0.10294590150065587</v>
      </c>
      <c r="J10" s="69" t="s">
        <v>272</v>
      </c>
      <c r="K10" s="6">
        <v>121.01</v>
      </c>
      <c r="L10" s="18">
        <v>9</v>
      </c>
      <c r="M10" s="6">
        <f>K10*0.8746</f>
        <v>105.83534600000002</v>
      </c>
      <c r="N10" s="6">
        <v>135.99</v>
      </c>
      <c r="O10" s="6">
        <f>N10*B17</f>
        <v>120.119967</v>
      </c>
      <c r="P10" s="6">
        <f t="shared" si="1"/>
        <v>1081.0797030000001</v>
      </c>
      <c r="Q10" s="7"/>
      <c r="R10" s="33"/>
      <c r="S10" s="7">
        <f t="shared" si="2"/>
        <v>0.13497023007795511</v>
      </c>
      <c r="T10" s="7"/>
    </row>
    <row r="11" spans="1:20" s="4" customFormat="1">
      <c r="A11" s="10"/>
      <c r="B11" s="10"/>
      <c r="C11" s="10"/>
      <c r="D11" s="10"/>
      <c r="E11" s="10"/>
      <c r="F11" s="10"/>
      <c r="G11" s="10"/>
      <c r="H11" s="11">
        <f>SUM(H2:H10)</f>
        <v>9252.6084100000007</v>
      </c>
      <c r="I11" s="12">
        <f>SUM(I2:I10)</f>
        <v>0.99999999999999989</v>
      </c>
      <c r="J11" s="10"/>
      <c r="K11" s="11"/>
      <c r="L11" s="19"/>
      <c r="M11" s="11"/>
      <c r="N11" s="11"/>
      <c r="O11" s="11"/>
      <c r="P11" s="11">
        <f>SUM(P2:P10)</f>
        <v>9047.9542710000005</v>
      </c>
      <c r="Q11" s="12"/>
      <c r="R11" s="11"/>
      <c r="S11" s="12">
        <f t="shared" si="2"/>
        <v>-2.2118534572241798E-2</v>
      </c>
      <c r="T11" s="12"/>
    </row>
    <row r="13" spans="1:20">
      <c r="A13" s="13" t="s">
        <v>72</v>
      </c>
      <c r="B13" s="14"/>
      <c r="C13" s="14"/>
      <c r="D13" s="14"/>
      <c r="E13" s="14"/>
      <c r="F13" s="14"/>
      <c r="G13" s="14"/>
      <c r="H13" s="15"/>
      <c r="I13" s="16"/>
      <c r="J13" s="70" t="s">
        <v>273</v>
      </c>
      <c r="K13" s="15">
        <v>2009.6</v>
      </c>
      <c r="L13" s="20"/>
      <c r="M13" s="15"/>
      <c r="N13" s="15">
        <f>'170830_langfr_Geldanlage'!N14</f>
        <v>1952.83</v>
      </c>
      <c r="O13" s="15"/>
      <c r="P13" s="15"/>
      <c r="Q13" s="16"/>
      <c r="R13" s="24" t="s">
        <v>64</v>
      </c>
      <c r="S13" s="16">
        <f>(N13-K13)/K13</f>
        <v>-2.8249402866242029E-2</v>
      </c>
      <c r="T13" s="16"/>
    </row>
    <row r="16" spans="1:20">
      <c r="A16" s="35" t="s">
        <v>117</v>
      </c>
      <c r="B16" s="35"/>
    </row>
    <row r="17" spans="1:3">
      <c r="A17" s="35" t="s">
        <v>22</v>
      </c>
      <c r="B17" s="35">
        <f>'170830_langfr_Geldanlage'!B18</f>
        <v>0.88329999999999997</v>
      </c>
    </row>
    <row r="18" spans="1:3">
      <c r="A18" s="35" t="s">
        <v>151</v>
      </c>
      <c r="B18" s="1">
        <f>'170830_langfr_Geldanlage'!B19</f>
        <v>1.1063000000000001</v>
      </c>
    </row>
    <row r="19" spans="1:3">
      <c r="A19" s="64" t="s">
        <v>90</v>
      </c>
      <c r="B19" s="35">
        <f>'171004_langfr_Geldanlage'!B18</f>
        <v>0.88900000000000001</v>
      </c>
    </row>
    <row r="20" spans="1:3">
      <c r="A20" s="64" t="s">
        <v>50</v>
      </c>
      <c r="B20" s="1">
        <f>'170830_langfr_Geldanlage'!B22</f>
        <v>9.7199999999999995E-2</v>
      </c>
    </row>
    <row r="23" spans="1:3">
      <c r="A23" s="50" t="s">
        <v>168</v>
      </c>
      <c r="B23" s="51">
        <f>'170830_langfr_Geldanlage'!B25</f>
        <v>43445</v>
      </c>
      <c r="C23" s="72" t="s">
        <v>277</v>
      </c>
    </row>
    <row r="24" spans="1:3">
      <c r="A24" s="50" t="s">
        <v>169</v>
      </c>
      <c r="B24" s="2">
        <v>0.08</v>
      </c>
    </row>
  </sheetData>
  <pageMargins left="0.5" right="0.5" top="0.79000000000000015" bottom="0.79000000000000015" header="0.30000000000000004" footer="0.30000000000000004"/>
  <pageSetup paperSize="9" scale="48" orientation="landscape"/>
  <headerFooter>
    <oddHeader>&amp;C&amp;"Calibri,Standard"&amp;K000000Musterdepot per 02.03.2018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15"/>
  <sheetViews>
    <sheetView tabSelected="1" zoomScale="150" zoomScaleNormal="150" zoomScalePageLayoutView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3" sqref="J3"/>
    </sheetView>
  </sheetViews>
  <sheetFormatPr baseColWidth="10" defaultRowHeight="15" x14ac:dyDescent="0"/>
  <cols>
    <col min="1" max="1" width="19" style="35" bestFit="1" customWidth="1"/>
    <col min="2" max="2" width="43.1640625" style="35" bestFit="1" customWidth="1"/>
    <col min="3" max="3" width="19.83203125" style="35" bestFit="1" customWidth="1"/>
    <col min="4" max="4" width="12.33203125" style="35" bestFit="1" customWidth="1"/>
    <col min="5" max="5" width="9.5" style="35" bestFit="1" customWidth="1"/>
    <col min="6" max="6" width="11.33203125" style="35" bestFit="1" customWidth="1"/>
    <col min="7" max="7" width="8.83203125" style="35" bestFit="1" customWidth="1"/>
    <col min="8" max="8" width="10.33203125" style="44" customWidth="1"/>
    <col min="9" max="9" width="9.83203125" style="45" bestFit="1" customWidth="1"/>
    <col min="10" max="10" width="18.33203125" style="35" bestFit="1" customWidth="1"/>
    <col min="11" max="11" width="11.1640625" style="44" customWidth="1"/>
    <col min="12" max="12" width="7" style="46" bestFit="1" customWidth="1"/>
    <col min="13" max="13" width="8.33203125" style="44" bestFit="1" customWidth="1"/>
    <col min="14" max="16" width="10.5" style="44" customWidth="1"/>
    <col min="17" max="17" width="10.5" style="45" customWidth="1"/>
    <col min="18" max="18" width="18.33203125" style="44" bestFit="1" customWidth="1"/>
    <col min="19" max="19" width="11.83203125" style="45" customWidth="1"/>
    <col min="20" max="20" width="12.6640625" style="45" customWidth="1"/>
    <col min="21" max="16384" width="10.83203125" style="35"/>
  </cols>
  <sheetData>
    <row r="1" spans="1:20" ht="30">
      <c r="A1" s="29" t="s">
        <v>0</v>
      </c>
      <c r="B1" s="29" t="s">
        <v>2</v>
      </c>
      <c r="C1" s="29" t="s">
        <v>1</v>
      </c>
      <c r="D1" s="29" t="s">
        <v>56</v>
      </c>
      <c r="E1" s="29" t="s">
        <v>11</v>
      </c>
      <c r="F1" s="29" t="s">
        <v>12</v>
      </c>
      <c r="G1" s="29" t="s">
        <v>13</v>
      </c>
      <c r="H1" s="74" t="s">
        <v>283</v>
      </c>
      <c r="I1" s="31" t="s">
        <v>3</v>
      </c>
      <c r="J1" s="29" t="s">
        <v>51</v>
      </c>
      <c r="K1" s="30" t="s">
        <v>71</v>
      </c>
      <c r="L1" s="32" t="s">
        <v>73</v>
      </c>
      <c r="M1" s="33" t="s">
        <v>55</v>
      </c>
      <c r="N1" s="49" t="s">
        <v>165</v>
      </c>
      <c r="O1" s="49" t="s">
        <v>166</v>
      </c>
      <c r="P1" s="49" t="s">
        <v>167</v>
      </c>
      <c r="Q1" s="31" t="s">
        <v>3</v>
      </c>
      <c r="R1" s="29" t="s">
        <v>51</v>
      </c>
      <c r="S1" s="34" t="s">
        <v>70</v>
      </c>
      <c r="T1" s="34" t="s">
        <v>74</v>
      </c>
    </row>
    <row r="2" spans="1:20">
      <c r="A2" s="29" t="s">
        <v>4</v>
      </c>
      <c r="B2" s="73" t="s">
        <v>280</v>
      </c>
      <c r="C2" s="73" t="s">
        <v>281</v>
      </c>
      <c r="D2" s="73" t="s">
        <v>282</v>
      </c>
      <c r="E2" s="73" t="s">
        <v>20</v>
      </c>
      <c r="F2" s="73" t="s">
        <v>21</v>
      </c>
      <c r="G2" s="73" t="s">
        <v>22</v>
      </c>
      <c r="H2" s="33">
        <f t="shared" ref="H2:H5" si="0">L2*M2</f>
        <v>1039.9974199999999</v>
      </c>
      <c r="I2" s="31">
        <f>(H2)/H6</f>
        <v>0.25052086753839925</v>
      </c>
      <c r="J2" s="76" t="s">
        <v>75</v>
      </c>
      <c r="K2" s="33">
        <v>84.1</v>
      </c>
      <c r="L2" s="36">
        <v>14</v>
      </c>
      <c r="M2" s="33">
        <f>K2*0.8833</f>
        <v>74.285529999999994</v>
      </c>
      <c r="N2" s="33">
        <v>84.1</v>
      </c>
      <c r="O2" s="33">
        <f>N2*B11</f>
        <v>74.285529999999994</v>
      </c>
      <c r="P2" s="33">
        <f t="shared" ref="P2:P5" si="1">L2*O2</f>
        <v>1039.9974199999999</v>
      </c>
      <c r="Q2" s="31"/>
      <c r="R2" s="29"/>
      <c r="S2" s="31">
        <f t="shared" ref="S2:S6" si="2">(P2-H2)/H2</f>
        <v>0</v>
      </c>
      <c r="T2" s="31"/>
    </row>
    <row r="3" spans="1:20">
      <c r="A3" s="73" t="s">
        <v>26</v>
      </c>
      <c r="B3" s="73" t="s">
        <v>284</v>
      </c>
      <c r="C3" s="75" t="s">
        <v>285</v>
      </c>
      <c r="D3" s="73" t="s">
        <v>286</v>
      </c>
      <c r="E3" s="73" t="s">
        <v>10</v>
      </c>
      <c r="F3" s="73" t="s">
        <v>145</v>
      </c>
      <c r="G3" s="73" t="s">
        <v>16</v>
      </c>
      <c r="H3" s="33">
        <f t="shared" si="0"/>
        <v>1010.4</v>
      </c>
      <c r="I3" s="31">
        <f>(H3)/H6</f>
        <v>0.243391262029091</v>
      </c>
      <c r="J3" s="76" t="s">
        <v>53</v>
      </c>
      <c r="K3" s="33">
        <v>63.15</v>
      </c>
      <c r="L3" s="36">
        <v>16</v>
      </c>
      <c r="M3" s="33">
        <f>K3</f>
        <v>63.15</v>
      </c>
      <c r="N3" s="33">
        <v>63.15</v>
      </c>
      <c r="O3" s="33">
        <f>N3</f>
        <v>63.15</v>
      </c>
      <c r="P3" s="33">
        <f t="shared" si="1"/>
        <v>1010.4</v>
      </c>
      <c r="Q3" s="31">
        <f>(P2+P3)/P6</f>
        <v>0.4939121295674902</v>
      </c>
      <c r="R3" s="33"/>
      <c r="S3" s="31">
        <f t="shared" si="2"/>
        <v>0</v>
      </c>
      <c r="T3" s="31"/>
    </row>
    <row r="4" spans="1:20">
      <c r="A4" s="73" t="s">
        <v>46</v>
      </c>
      <c r="B4" s="73" t="s">
        <v>287</v>
      </c>
      <c r="C4" s="75" t="s">
        <v>199</v>
      </c>
      <c r="D4" s="73" t="s">
        <v>200</v>
      </c>
      <c r="E4" s="73" t="s">
        <v>10</v>
      </c>
      <c r="F4" s="73" t="s">
        <v>288</v>
      </c>
      <c r="G4" s="73" t="s">
        <v>16</v>
      </c>
      <c r="H4" s="33">
        <f t="shared" si="0"/>
        <v>1007.4000000000001</v>
      </c>
      <c r="I4" s="31">
        <f>(H4)/H6</f>
        <v>0.24266860388767447</v>
      </c>
      <c r="J4" s="76" t="s">
        <v>53</v>
      </c>
      <c r="K4" s="33">
        <v>335.8</v>
      </c>
      <c r="L4" s="36">
        <v>3</v>
      </c>
      <c r="M4" s="33">
        <f>K4</f>
        <v>335.8</v>
      </c>
      <c r="N4" s="33">
        <v>335.8</v>
      </c>
      <c r="O4" s="33">
        <f>N4</f>
        <v>335.8</v>
      </c>
      <c r="P4" s="33">
        <f t="shared" si="1"/>
        <v>1007.4000000000001</v>
      </c>
      <c r="Q4" s="31">
        <f>(P4)/P6</f>
        <v>0.24266860388767447</v>
      </c>
      <c r="R4" s="33"/>
      <c r="S4" s="31">
        <f t="shared" si="2"/>
        <v>0</v>
      </c>
      <c r="T4" s="31"/>
    </row>
    <row r="5" spans="1:20">
      <c r="A5" s="73" t="s">
        <v>38</v>
      </c>
      <c r="B5" s="73" t="s">
        <v>289</v>
      </c>
      <c r="C5" s="75" t="s">
        <v>290</v>
      </c>
      <c r="D5" s="73" t="s">
        <v>291</v>
      </c>
      <c r="E5" s="73" t="s">
        <v>29</v>
      </c>
      <c r="F5" s="73" t="s">
        <v>292</v>
      </c>
      <c r="G5" s="29" t="s">
        <v>22</v>
      </c>
      <c r="H5" s="33">
        <f t="shared" si="0"/>
        <v>1093.543066</v>
      </c>
      <c r="I5" s="31">
        <f>(H5)/H6</f>
        <v>0.26341926654483527</v>
      </c>
      <c r="J5" s="76" t="s">
        <v>53</v>
      </c>
      <c r="K5" s="33">
        <v>176.86</v>
      </c>
      <c r="L5" s="36">
        <v>7</v>
      </c>
      <c r="M5" s="33">
        <f>K5*0.8833</f>
        <v>156.220438</v>
      </c>
      <c r="N5" s="33">
        <v>176.86</v>
      </c>
      <c r="O5" s="33">
        <f>N5*B11</f>
        <v>156.220438</v>
      </c>
      <c r="P5" s="33">
        <f t="shared" si="1"/>
        <v>1093.543066</v>
      </c>
      <c r="Q5" s="31">
        <f>(P5)/P6</f>
        <v>0.26341926654483527</v>
      </c>
      <c r="R5" s="33"/>
      <c r="S5" s="31">
        <f t="shared" si="2"/>
        <v>0</v>
      </c>
      <c r="T5" s="31"/>
    </row>
    <row r="6" spans="1:20" s="4" customFormat="1">
      <c r="A6" s="10"/>
      <c r="B6" s="10"/>
      <c r="C6" s="10"/>
      <c r="D6" s="10"/>
      <c r="E6" s="10"/>
      <c r="F6" s="10"/>
      <c r="G6" s="10"/>
      <c r="H6" s="11">
        <f>SUM(H2:H5)</f>
        <v>4151.3404860000001</v>
      </c>
      <c r="I6" s="12">
        <f>SUM(I2:I5)</f>
        <v>1</v>
      </c>
      <c r="J6" s="10"/>
      <c r="K6" s="11"/>
      <c r="L6" s="19"/>
      <c r="M6" s="11"/>
      <c r="N6" s="11"/>
      <c r="O6" s="11"/>
      <c r="P6" s="11">
        <f>SUM(P2:P5)</f>
        <v>4151.3404860000001</v>
      </c>
      <c r="Q6" s="12">
        <f>SUM(Q2:Q5)</f>
        <v>0.99999999999999989</v>
      </c>
      <c r="R6" s="11"/>
      <c r="S6" s="12">
        <f t="shared" si="2"/>
        <v>0</v>
      </c>
      <c r="T6" s="12"/>
    </row>
    <row r="8" spans="1:20">
      <c r="A8" s="40" t="s">
        <v>72</v>
      </c>
      <c r="B8" s="40"/>
      <c r="C8" s="40"/>
      <c r="D8" s="40"/>
      <c r="E8" s="40"/>
      <c r="F8" s="40"/>
      <c r="G8" s="40"/>
      <c r="H8" s="41"/>
      <c r="I8" s="42"/>
      <c r="J8" s="40" t="s">
        <v>64</v>
      </c>
      <c r="K8" s="41">
        <v>1952.83</v>
      </c>
      <c r="L8" s="43"/>
      <c r="M8" s="41"/>
      <c r="N8" s="41">
        <f>'170830_langfr_Geldanlage'!N14</f>
        <v>1952.83</v>
      </c>
      <c r="O8" s="41"/>
      <c r="P8" s="41"/>
      <c r="Q8" s="42"/>
      <c r="R8" s="41" t="s">
        <v>64</v>
      </c>
      <c r="S8" s="42">
        <f>(N8-K8)/K8</f>
        <v>0</v>
      </c>
      <c r="T8" s="42"/>
    </row>
    <row r="10" spans="1:20">
      <c r="A10" s="35" t="s">
        <v>117</v>
      </c>
    </row>
    <row r="11" spans="1:20">
      <c r="A11" s="35" t="s">
        <v>22</v>
      </c>
      <c r="B11" s="35">
        <f>'170830_langfr_Geldanlage'!B18</f>
        <v>0.88329999999999997</v>
      </c>
    </row>
    <row r="12" spans="1:20">
      <c r="A12" s="35" t="s">
        <v>130</v>
      </c>
      <c r="B12" s="35">
        <f>'170830_langfr_Geldanlage'!B19</f>
        <v>1.1063000000000001</v>
      </c>
    </row>
    <row r="14" spans="1:20">
      <c r="A14" s="50" t="s">
        <v>168</v>
      </c>
      <c r="B14" s="51">
        <f>'170830_langfr_Geldanlage'!B25</f>
        <v>43445</v>
      </c>
      <c r="C14" s="58" t="str">
        <f>'170830_langfr_Geldanlage'!C25</f>
        <v>zwischen 20:15 und 20:30 Uhr</v>
      </c>
    </row>
    <row r="15" spans="1:20">
      <c r="A15" s="50" t="s">
        <v>169</v>
      </c>
      <c r="B15" s="44">
        <v>0</v>
      </c>
    </row>
  </sheetData>
  <pageMargins left="0.5" right="0.5" top="0.79000000000000015" bottom="0.79000000000000015" header="0.30000000000000004" footer="0.30000000000000004"/>
  <pageSetup paperSize="9" scale="47" orientation="landscape"/>
  <headerFooter>
    <oddHeader>&amp;C&amp;"Calibri,Standard"&amp;K000000Empfehlungsliste per 13.12.2017</oddHead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170830_langfr_Geldanlage</vt:lpstr>
      <vt:lpstr>171004_langfr_Geldanlage</vt:lpstr>
      <vt:lpstr>171004_Turnaroundwerte</vt:lpstr>
      <vt:lpstr>171213_2018_Empfehlungsliste</vt:lpstr>
      <vt:lpstr>180302_langfr_Geldanlage</vt:lpstr>
      <vt:lpstr>180817_langfr_Geldanlage</vt:lpstr>
      <vt:lpstr>181120_langfr_Geldanlage</vt:lpstr>
      <vt:lpstr>181212_2019_Empfehlungsliste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Essing</dc:creator>
  <cp:lastModifiedBy>Uwe Essing</cp:lastModifiedBy>
  <dcterms:created xsi:type="dcterms:W3CDTF">2017-08-30T14:51:47Z</dcterms:created>
  <dcterms:modified xsi:type="dcterms:W3CDTF">2018-12-11T19:50:01Z</dcterms:modified>
</cp:coreProperties>
</file>