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 activeTab="4"/>
  </bookViews>
  <sheets>
    <sheet name="170830_langfr_Geldanlage" sheetId="1" r:id="rId1"/>
    <sheet name="171004_langfr_Geldanlage" sheetId="2" r:id="rId2"/>
    <sheet name="180302_langfr_Geldanlage" sheetId="6" r:id="rId3"/>
    <sheet name="180817_langfr_Geldanlage" sheetId="7" r:id="rId4"/>
    <sheet name="181120_langfr_Geldanlage" sheetId="9" r:id="rId5"/>
    <sheet name="181212_2019_Empfehlungsliste" sheetId="10" r:id="rId6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0" l="1"/>
  <c r="O4" i="10"/>
  <c r="M4" i="10"/>
  <c r="O3" i="10"/>
  <c r="M3" i="10"/>
  <c r="B11" i="10"/>
  <c r="O2" i="10"/>
  <c r="M2" i="10"/>
  <c r="N13" i="9"/>
  <c r="H2" i="10"/>
  <c r="H3" i="10"/>
  <c r="H4" i="10"/>
  <c r="H5" i="10"/>
  <c r="H6" i="10"/>
  <c r="I2" i="10"/>
  <c r="I3" i="10"/>
  <c r="C14" i="10"/>
  <c r="B14" i="10"/>
  <c r="B12" i="10"/>
  <c r="N8" i="10"/>
  <c r="S8" i="10"/>
  <c r="P2" i="10"/>
  <c r="P3" i="10"/>
  <c r="P4" i="10"/>
  <c r="O5" i="10"/>
  <c r="P5" i="10"/>
  <c r="P6" i="10"/>
  <c r="S6" i="10"/>
  <c r="Q3" i="10"/>
  <c r="Q4" i="10"/>
  <c r="Q5" i="10"/>
  <c r="Q6" i="10"/>
  <c r="I4" i="10"/>
  <c r="I5" i="10"/>
  <c r="I6" i="10"/>
  <c r="S5" i="10"/>
  <c r="S4" i="10"/>
  <c r="S3" i="10"/>
  <c r="S2" i="10"/>
  <c r="M10" i="9"/>
  <c r="M9" i="9"/>
  <c r="M8" i="9"/>
  <c r="M5" i="9"/>
  <c r="M4" i="9"/>
  <c r="M2" i="9"/>
  <c r="H2" i="9"/>
  <c r="H10" i="9"/>
  <c r="H4" i="9"/>
  <c r="M7" i="9"/>
  <c r="H7" i="9"/>
  <c r="H8" i="9"/>
  <c r="H9" i="9"/>
  <c r="H5" i="9"/>
  <c r="H11" i="9"/>
  <c r="I10" i="9"/>
  <c r="O6" i="9"/>
  <c r="M6" i="9"/>
  <c r="O3" i="9"/>
  <c r="M3" i="9"/>
  <c r="H3" i="9"/>
  <c r="H6" i="9"/>
  <c r="I3" i="9"/>
  <c r="I9" i="9"/>
  <c r="B18" i="9"/>
  <c r="O4" i="9"/>
  <c r="I4" i="9"/>
  <c r="O7" i="9"/>
  <c r="B19" i="9"/>
  <c r="O8" i="9"/>
  <c r="B23" i="9"/>
  <c r="B20" i="9"/>
  <c r="B17" i="9"/>
  <c r="S13" i="9"/>
  <c r="O2" i="9"/>
  <c r="P2" i="9"/>
  <c r="P3" i="9"/>
  <c r="P4" i="9"/>
  <c r="O5" i="9"/>
  <c r="P5" i="9"/>
  <c r="P6" i="9"/>
  <c r="P7" i="9"/>
  <c r="P8" i="9"/>
  <c r="O9" i="9"/>
  <c r="P9" i="9"/>
  <c r="O10" i="9"/>
  <c r="P10" i="9"/>
  <c r="P11" i="9"/>
  <c r="S11" i="9"/>
  <c r="I5" i="9"/>
  <c r="I6" i="9"/>
  <c r="I8" i="9"/>
  <c r="I11" i="9"/>
  <c r="S10" i="9"/>
  <c r="S9" i="9"/>
  <c r="S8" i="9"/>
  <c r="S7" i="9"/>
  <c r="S6" i="9"/>
  <c r="S5" i="9"/>
  <c r="S4" i="9"/>
  <c r="S3" i="9"/>
  <c r="S2" i="9"/>
  <c r="B20" i="7"/>
  <c r="N13" i="7"/>
  <c r="I10" i="7"/>
  <c r="I8" i="7"/>
  <c r="I6" i="7"/>
  <c r="I5" i="7"/>
  <c r="I4" i="7"/>
  <c r="I2" i="7"/>
  <c r="O8" i="7"/>
  <c r="M8" i="7"/>
  <c r="B19" i="7"/>
  <c r="M5" i="7"/>
  <c r="O4" i="7"/>
  <c r="M4" i="7"/>
  <c r="B17" i="7"/>
  <c r="O3" i="7"/>
  <c r="M3" i="7"/>
  <c r="M9" i="7"/>
  <c r="O6" i="7"/>
  <c r="M6" i="7"/>
  <c r="O7" i="7"/>
  <c r="M7" i="7"/>
  <c r="M10" i="7"/>
  <c r="C22" i="2"/>
  <c r="C23" i="7"/>
  <c r="B23" i="7"/>
  <c r="B18" i="7"/>
  <c r="S13" i="7"/>
  <c r="O2" i="7"/>
  <c r="P2" i="7"/>
  <c r="P3" i="7"/>
  <c r="P4" i="7"/>
  <c r="O5" i="7"/>
  <c r="P5" i="7"/>
  <c r="P6" i="7"/>
  <c r="P7" i="7"/>
  <c r="P8" i="7"/>
  <c r="O9" i="7"/>
  <c r="P9" i="7"/>
  <c r="O10" i="7"/>
  <c r="P10" i="7"/>
  <c r="P11" i="7"/>
  <c r="M2" i="7"/>
  <c r="H2" i="7"/>
  <c r="H3" i="7"/>
  <c r="H4" i="7"/>
  <c r="H5" i="7"/>
  <c r="H6" i="7"/>
  <c r="H7" i="7"/>
  <c r="H8" i="7"/>
  <c r="H9" i="7"/>
  <c r="H10" i="7"/>
  <c r="H11" i="7"/>
  <c r="S11" i="7"/>
  <c r="I11" i="7"/>
  <c r="S10" i="7"/>
  <c r="S9" i="7"/>
  <c r="S8" i="7"/>
  <c r="S7" i="7"/>
  <c r="S6" i="7"/>
  <c r="S5" i="7"/>
  <c r="S4" i="7"/>
  <c r="S3" i="7"/>
  <c r="S2" i="7"/>
  <c r="C24" i="6"/>
  <c r="B21" i="6"/>
  <c r="B19" i="6"/>
  <c r="B18" i="6"/>
  <c r="B24" i="6"/>
  <c r="B22" i="2"/>
  <c r="N14" i="6"/>
  <c r="M11" i="6"/>
  <c r="M10" i="6"/>
  <c r="M8" i="6"/>
  <c r="M6" i="6"/>
  <c r="M2" i="6"/>
  <c r="H11" i="6"/>
  <c r="O11" i="6"/>
  <c r="H10" i="6"/>
  <c r="O9" i="6"/>
  <c r="M9" i="6"/>
  <c r="H9" i="6"/>
  <c r="T12" i="1"/>
  <c r="M7" i="6"/>
  <c r="O8" i="6"/>
  <c r="H8" i="6"/>
  <c r="H2" i="1"/>
  <c r="H3" i="1"/>
  <c r="M4" i="1"/>
  <c r="H4" i="1"/>
  <c r="H5" i="1"/>
  <c r="H6" i="1"/>
  <c r="H7" i="1"/>
  <c r="H8" i="1"/>
  <c r="H9" i="1"/>
  <c r="H10" i="1"/>
  <c r="H11" i="1"/>
  <c r="H12" i="1"/>
  <c r="O7" i="6"/>
  <c r="H7" i="6"/>
  <c r="O6" i="6"/>
  <c r="H6" i="6"/>
  <c r="O5" i="6"/>
  <c r="M5" i="6"/>
  <c r="M4" i="6"/>
  <c r="M3" i="6"/>
  <c r="H5" i="6"/>
  <c r="H4" i="6"/>
  <c r="H3" i="6"/>
  <c r="H2" i="6"/>
  <c r="O2" i="6"/>
  <c r="S14" i="6"/>
  <c r="P2" i="6"/>
  <c r="O3" i="6"/>
  <c r="P3" i="6"/>
  <c r="O4" i="6"/>
  <c r="P4" i="6"/>
  <c r="P5" i="6"/>
  <c r="P6" i="6"/>
  <c r="P7" i="6"/>
  <c r="P8" i="6"/>
  <c r="P9" i="6"/>
  <c r="O10" i="6"/>
  <c r="P10" i="6"/>
  <c r="P11" i="6"/>
  <c r="P12" i="6"/>
  <c r="H12" i="6"/>
  <c r="S12" i="6"/>
  <c r="I12" i="6"/>
  <c r="S11" i="6"/>
  <c r="S10" i="6"/>
  <c r="S9" i="6"/>
  <c r="S8" i="6"/>
  <c r="S7" i="6"/>
  <c r="S6" i="6"/>
  <c r="S5" i="6"/>
  <c r="S4" i="6"/>
  <c r="S3" i="6"/>
  <c r="S2" i="6"/>
  <c r="N14" i="2"/>
  <c r="B17" i="2"/>
  <c r="O7" i="1"/>
  <c r="P7" i="1"/>
  <c r="O8" i="1"/>
  <c r="P8" i="1"/>
  <c r="O9" i="1"/>
  <c r="P9" i="1"/>
  <c r="O10" i="1"/>
  <c r="P10" i="1"/>
  <c r="O5" i="1"/>
  <c r="P5" i="1"/>
  <c r="O6" i="1"/>
  <c r="P6" i="1"/>
  <c r="O11" i="1"/>
  <c r="P11" i="1"/>
  <c r="O2" i="1"/>
  <c r="P2" i="1"/>
  <c r="O3" i="1"/>
  <c r="P3" i="1"/>
  <c r="O4" i="1"/>
  <c r="P4" i="1"/>
  <c r="P12" i="1"/>
  <c r="R12" i="1"/>
  <c r="S14" i="2"/>
  <c r="O2" i="2"/>
  <c r="P2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P12" i="2"/>
  <c r="M2" i="2"/>
  <c r="H2" i="2"/>
  <c r="M3" i="2"/>
  <c r="H3" i="2"/>
  <c r="M4" i="2"/>
  <c r="H4" i="2"/>
  <c r="M5" i="2"/>
  <c r="H5" i="2"/>
  <c r="M6" i="2"/>
  <c r="H6" i="2"/>
  <c r="M7" i="2"/>
  <c r="H7" i="2"/>
  <c r="M8" i="2"/>
  <c r="H8" i="2"/>
  <c r="M9" i="2"/>
  <c r="H9" i="2"/>
  <c r="M10" i="2"/>
  <c r="H10" i="2"/>
  <c r="M11" i="2"/>
  <c r="H11" i="2"/>
  <c r="H12" i="2"/>
  <c r="S12" i="2"/>
  <c r="Q3" i="2"/>
  <c r="Q6" i="2"/>
  <c r="Q8" i="2"/>
  <c r="Q9" i="2"/>
  <c r="Q10" i="2"/>
  <c r="Q11" i="2"/>
  <c r="Q12" i="2"/>
  <c r="I3" i="2"/>
  <c r="I6" i="2"/>
  <c r="I8" i="2"/>
  <c r="I9" i="2"/>
  <c r="I10" i="2"/>
  <c r="I11" i="2"/>
  <c r="I12" i="2"/>
  <c r="S11" i="2"/>
  <c r="S10" i="2"/>
  <c r="S9" i="2"/>
  <c r="S8" i="2"/>
  <c r="S7" i="2"/>
  <c r="S6" i="2"/>
  <c r="S5" i="2"/>
  <c r="S4" i="2"/>
  <c r="S3" i="2"/>
  <c r="S2" i="2"/>
  <c r="R3" i="1"/>
  <c r="R4" i="1"/>
  <c r="R5" i="1"/>
  <c r="R6" i="1"/>
  <c r="R7" i="1"/>
  <c r="R8" i="1"/>
  <c r="R9" i="1"/>
  <c r="R10" i="1"/>
  <c r="R11" i="1"/>
  <c r="R2" i="1"/>
  <c r="R14" i="1"/>
  <c r="Q3" i="1"/>
  <c r="I3" i="1"/>
  <c r="Q5" i="1"/>
  <c r="I5" i="1"/>
  <c r="Q7" i="1"/>
  <c r="I7" i="1"/>
  <c r="Q9" i="1"/>
  <c r="I9" i="1"/>
  <c r="I10" i="1"/>
  <c r="Q10" i="1"/>
  <c r="Q11" i="1"/>
  <c r="I11" i="1"/>
  <c r="I12" i="1"/>
</calcChain>
</file>

<file path=xl/sharedStrings.xml><?xml version="1.0" encoding="utf-8"?>
<sst xmlns="http://schemas.openxmlformats.org/spreadsheetml/2006/main" count="598" uniqueCount="250">
  <si>
    <t>Branche</t>
  </si>
  <si>
    <t>Unternehmen</t>
  </si>
  <si>
    <t>Branche Detail</t>
  </si>
  <si>
    <t>Anteil in %</t>
  </si>
  <si>
    <t>Gesundheit</t>
  </si>
  <si>
    <t>Dienstleister Klinikbetreiber</t>
  </si>
  <si>
    <t>Ramsay Health Care</t>
  </si>
  <si>
    <t>Australien</t>
  </si>
  <si>
    <t>Chemie Duft- und Geschmacksstoffe</t>
  </si>
  <si>
    <t>Symrise</t>
  </si>
  <si>
    <t>Europa</t>
  </si>
  <si>
    <t>Kontinent</t>
  </si>
  <si>
    <t>Land</t>
  </si>
  <si>
    <t>Währung</t>
  </si>
  <si>
    <t>AU$</t>
  </si>
  <si>
    <t>Deutschland</t>
  </si>
  <si>
    <t>€</t>
  </si>
  <si>
    <t>Konsum nicht zyklisch</t>
  </si>
  <si>
    <t>Drogerie Reinigung Hygiene industriell</t>
  </si>
  <si>
    <t>Ecolab</t>
  </si>
  <si>
    <t>Amerika</t>
  </si>
  <si>
    <t>USA</t>
  </si>
  <si>
    <t>US$</t>
  </si>
  <si>
    <t>Bekleidung Sport</t>
  </si>
  <si>
    <t>Nike</t>
  </si>
  <si>
    <t>Grundnahrungsmittel</t>
  </si>
  <si>
    <t>Industrie</t>
  </si>
  <si>
    <t xml:space="preserve">Zulieferer Verkehr </t>
  </si>
  <si>
    <t>Shimano</t>
  </si>
  <si>
    <t>Asien</t>
  </si>
  <si>
    <t>Japan</t>
  </si>
  <si>
    <t>Yen</t>
  </si>
  <si>
    <t>Zulieferer Verpackungen</t>
  </si>
  <si>
    <t>Bunzl</t>
  </si>
  <si>
    <t>England</t>
  </si>
  <si>
    <t>Pfund</t>
  </si>
  <si>
    <t>Tabak</t>
  </si>
  <si>
    <t>Altria</t>
  </si>
  <si>
    <t>Technologie</t>
  </si>
  <si>
    <t>IT-Denstleister</t>
  </si>
  <si>
    <t>CGI</t>
  </si>
  <si>
    <t>Kanada</t>
  </si>
  <si>
    <t>CA$</t>
  </si>
  <si>
    <t>Hardware Halbleiter</t>
  </si>
  <si>
    <t>Taiwan Semiconductor</t>
  </si>
  <si>
    <t>Taiwan</t>
  </si>
  <si>
    <t>Sonstige</t>
  </si>
  <si>
    <t>Dienstleister Outsourcing Inkasso</t>
  </si>
  <si>
    <t>Intrum Justitia</t>
  </si>
  <si>
    <t>Schweden</t>
  </si>
  <si>
    <t>SEK</t>
  </si>
  <si>
    <t>Trend</t>
  </si>
  <si>
    <t>200 T. unterschritten</t>
  </si>
  <si>
    <t>abwärts stark</t>
  </si>
  <si>
    <t xml:space="preserve">abwärts leicht </t>
  </si>
  <si>
    <t>Kurs €</t>
  </si>
  <si>
    <t>WKN</t>
  </si>
  <si>
    <t>A0ET3E GB</t>
  </si>
  <si>
    <t>874338 AU</t>
  </si>
  <si>
    <t>SYM999 DE</t>
  </si>
  <si>
    <t>abwärts mittel</t>
  </si>
  <si>
    <t>865682 JP</t>
  </si>
  <si>
    <t>912483 CA</t>
  </si>
  <si>
    <t>909800 TW</t>
  </si>
  <si>
    <t>ATH</t>
  </si>
  <si>
    <t>854545 US</t>
  </si>
  <si>
    <t>aufwärts leicht</t>
  </si>
  <si>
    <t>866993 US</t>
  </si>
  <si>
    <t>200417 US</t>
  </si>
  <si>
    <t>633824 SE</t>
  </si>
  <si>
    <t>Performance in €</t>
  </si>
  <si>
    <t>Kurs Heimat-währung</t>
  </si>
  <si>
    <t>MSCI World Index</t>
  </si>
  <si>
    <t>Menge</t>
  </si>
  <si>
    <t>Performance effektiv p.a.</t>
  </si>
  <si>
    <t>aufwärts mittel</t>
  </si>
  <si>
    <t>knapp unter ATH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</si>
  <si>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30.08.2017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</si>
  <si>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04.10.2017</t>
    </r>
  </si>
  <si>
    <t>Medizintechnik Bedarfsartikel</t>
  </si>
  <si>
    <t>Coloplast</t>
  </si>
  <si>
    <t>A1KAGC DK</t>
  </si>
  <si>
    <t>Dänemark</t>
  </si>
  <si>
    <t>DKK</t>
  </si>
  <si>
    <t>Paul Hartmann</t>
  </si>
  <si>
    <t>747404 DE</t>
  </si>
  <si>
    <t xml:space="preserve">Zulieferer Sanitär </t>
  </si>
  <si>
    <t>Geberit</t>
  </si>
  <si>
    <t>A0MQWG CH</t>
  </si>
  <si>
    <t>Schweiz</t>
  </si>
  <si>
    <t>CHF</t>
  </si>
  <si>
    <t>200 T.</t>
  </si>
  <si>
    <t>Holding Immobilien Hotels Bau Einzelhandel</t>
  </si>
  <si>
    <t>Jardine Matheson</t>
  </si>
  <si>
    <t>869042 HK</t>
  </si>
  <si>
    <t>Hong Kong</t>
  </si>
  <si>
    <t xml:space="preserve">Zulieferer Verkehr Flugzeuge Komponenten </t>
  </si>
  <si>
    <t>TransDigM</t>
  </si>
  <si>
    <t>A0JEP3 US</t>
  </si>
  <si>
    <t>Handel Online Versand etc.</t>
  </si>
  <si>
    <t>Amazon</t>
  </si>
  <si>
    <t>906866 US</t>
  </si>
  <si>
    <t xml:space="preserve">Drogerie Reinigung Pflege </t>
  </si>
  <si>
    <t>Church &amp; Dwight</t>
  </si>
  <si>
    <t>864371 US</t>
  </si>
  <si>
    <t>Internet Suchmaschine Online Spiele Musikstreaming</t>
  </si>
  <si>
    <t>NetEase</t>
  </si>
  <si>
    <t>501822 CN</t>
  </si>
  <si>
    <t>China</t>
  </si>
  <si>
    <t>Dienstleister Catering Gebäudemanagement</t>
  </si>
  <si>
    <t>Sodexo</t>
  </si>
  <si>
    <t>870935 FR</t>
  </si>
  <si>
    <t>Frankreich</t>
  </si>
  <si>
    <t>Energie &amp; Rohstoffe</t>
  </si>
  <si>
    <t>Energieversorger Erdgas Strom erneuerbare Dienstleister Energieb.</t>
  </si>
  <si>
    <t>UGI</t>
  </si>
  <si>
    <t>887836 US</t>
  </si>
  <si>
    <t>Währungen</t>
  </si>
  <si>
    <t>GBP</t>
  </si>
  <si>
    <t>DE</t>
  </si>
  <si>
    <t>GBP (Britisches Pfund)</t>
  </si>
  <si>
    <t>Basiskonsum</t>
  </si>
  <si>
    <t>Kurs aktuell</t>
  </si>
  <si>
    <t>Kurs in €  aktuell</t>
  </si>
  <si>
    <t>Wert aktuell</t>
  </si>
  <si>
    <t>Stand</t>
  </si>
  <si>
    <t>Dauer in Jahren</t>
  </si>
  <si>
    <t>Aufwärts ca. 3,4%</t>
  </si>
  <si>
    <t>Energie</t>
  </si>
  <si>
    <t>Versorger Betreiber Pipeline System</t>
  </si>
  <si>
    <t>Enbridge</t>
  </si>
  <si>
    <t>885427 CA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</si>
  <si>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02.03.2018</t>
    </r>
  </si>
  <si>
    <t>Finanzen</t>
  </si>
  <si>
    <t>Bank</t>
  </si>
  <si>
    <t>HDFC Bank</t>
  </si>
  <si>
    <t>694482 IND</t>
  </si>
  <si>
    <t>Indien</t>
  </si>
  <si>
    <t>knapp unter 200-T.</t>
  </si>
  <si>
    <t>Drogerie Reinigung Klebstoffe</t>
  </si>
  <si>
    <t>Henkel</t>
  </si>
  <si>
    <t>604843 DE</t>
  </si>
  <si>
    <t>Rational</t>
  </si>
  <si>
    <t>Cisco</t>
  </si>
  <si>
    <t>Constellation Brands</t>
  </si>
  <si>
    <t>871918 US</t>
  </si>
  <si>
    <t>Getränke Wein Bier Spirituosen</t>
  </si>
  <si>
    <t>Maschinenbau Küchen Groß- und Gewerbe</t>
  </si>
  <si>
    <t>701080 DE</t>
  </si>
  <si>
    <t>abwärts 5% unter 200-T.</t>
  </si>
  <si>
    <t>Großbritanien</t>
  </si>
  <si>
    <t>aktuell</t>
  </si>
  <si>
    <t>Währungen für Dividenden</t>
  </si>
  <si>
    <t>US$ (Mittelwert)</t>
  </si>
  <si>
    <t>Dividenden-rendite Mittelwert</t>
  </si>
  <si>
    <t>Dienstleister Analyseverfahren Labor</t>
  </si>
  <si>
    <t>Eurofins Scientific</t>
  </si>
  <si>
    <t>910251 FR</t>
  </si>
  <si>
    <t>Hardware Netzwerkausrüster</t>
  </si>
  <si>
    <t>878841 US</t>
  </si>
  <si>
    <t>aufwärts stark</t>
  </si>
  <si>
    <t>Cerner</t>
  </si>
  <si>
    <t>Software - Healthcare-Informationstechnologie-Lösungen</t>
  </si>
  <si>
    <t>Aufwärts - 2,36%</t>
  </si>
  <si>
    <t>Grenke</t>
  </si>
  <si>
    <r>
      <t>892807</t>
    </r>
    <r>
      <rPr>
        <sz val="12"/>
        <color theme="1"/>
        <rFont val="Calibri"/>
        <family val="2"/>
        <charset val="204"/>
        <scheme val="minor"/>
      </rPr>
      <t xml:space="preserve"> US</t>
    </r>
  </si>
  <si>
    <t>A161N3 DE</t>
  </si>
  <si>
    <t>3M</t>
  </si>
  <si>
    <t>851745 US</t>
  </si>
  <si>
    <t>Abwärts - -8,43%</t>
  </si>
  <si>
    <t>Konsum</t>
  </si>
  <si>
    <t>Alibaba</t>
  </si>
  <si>
    <t>A117ME CN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</si>
  <si>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17.08.2018</t>
    </r>
  </si>
  <si>
    <t>Abwärts - -8,58%</t>
  </si>
  <si>
    <t>Internet - Neue Technologien Soziale Netzwerke Online Spiele</t>
  </si>
  <si>
    <t>Handel - Online Handelsplattform</t>
  </si>
  <si>
    <t>Holding - Medizin Sicherh. Elektron. Telekommunik. Industrie Büroart.</t>
  </si>
  <si>
    <t>Finanzdienstleister - Leasing Miete Services Remarketing IT-Equipment Bürokommunikation</t>
  </si>
  <si>
    <t>Tencent Holdings</t>
  </si>
  <si>
    <t>A1138D KY</t>
  </si>
  <si>
    <t>Abwärts - -22,56%</t>
  </si>
  <si>
    <t>Dienstleister - Hausverwaltung Wäscherei Catering Altenpflege</t>
  </si>
  <si>
    <t>Healthcare Service Group</t>
  </si>
  <si>
    <t>870932 US</t>
  </si>
  <si>
    <t>Abwärts - -10,12%</t>
  </si>
  <si>
    <t>Biotechnologie - Beteiligungsgesellschaft</t>
  </si>
  <si>
    <t>BB Biotech</t>
  </si>
  <si>
    <t>A0NFN3 CH</t>
  </si>
  <si>
    <t>Tyson Foods</t>
  </si>
  <si>
    <t>Lebensmittel - Hersteller Fleisch- Fertigprodukte</t>
  </si>
  <si>
    <t>870625 US</t>
  </si>
  <si>
    <t>Abwärts - -19,00%</t>
  </si>
  <si>
    <t>Industrie - Zulieferer Bau Sicherheitst. Sicherheitssyst. Schließlösungen</t>
  </si>
  <si>
    <t>Assa Abloy</t>
  </si>
  <si>
    <t>A14TVM SE</t>
  </si>
  <si>
    <t>Aufwärts - 1,83%</t>
  </si>
  <si>
    <t>Aufwärts - 0,91%</t>
  </si>
  <si>
    <t>200 Tage Linie - -0,86%</t>
  </si>
  <si>
    <r>
      <t xml:space="preserve">Industrie - </t>
    </r>
    <r>
      <rPr>
        <sz val="12"/>
        <color theme="1"/>
        <rFont val="Calibri"/>
        <family val="2"/>
        <charset val="204"/>
        <scheme val="minor"/>
      </rPr>
      <t xml:space="preserve">Maschinen- und Anlagenbau Rolltreppen Aufzüge </t>
    </r>
  </si>
  <si>
    <t>Schindler</t>
  </si>
  <si>
    <t>A0JEHV CH</t>
  </si>
  <si>
    <t>Industrie - Maschinen- und Anlagenbau Küchen für Großgewerbe</t>
  </si>
  <si>
    <r>
      <t xml:space="preserve">Lebensmittel - Hersteller </t>
    </r>
    <r>
      <rPr>
        <sz val="12"/>
        <color theme="1"/>
        <rFont val="Calibri"/>
        <family val="2"/>
        <charset val="204"/>
        <scheme val="minor"/>
      </rPr>
      <t>Allgemein</t>
    </r>
  </si>
  <si>
    <t>Sysco</t>
  </si>
  <si>
    <t>859121 US</t>
  </si>
  <si>
    <r>
      <t>200 Tage Linie - -0,</t>
    </r>
    <r>
      <rPr>
        <sz val="12"/>
        <color theme="1"/>
        <rFont val="Calibri"/>
        <family val="2"/>
        <charset val="204"/>
        <scheme val="minor"/>
      </rPr>
      <t>46</t>
    </r>
    <r>
      <rPr>
        <sz val="12"/>
        <color theme="1"/>
        <rFont val="Calibri"/>
        <family val="2"/>
        <charset val="204"/>
        <scheme val="minor"/>
      </rPr>
      <t>%</t>
    </r>
  </si>
  <si>
    <t>Intercontinental Hotels Group</t>
  </si>
  <si>
    <t>Gastronomie Hotelgewerbe</t>
  </si>
  <si>
    <t>Dienstleister Finanzen Ratingagentur</t>
  </si>
  <si>
    <t>S&amp;P Global</t>
  </si>
  <si>
    <t>A2AHZ7 US</t>
  </si>
  <si>
    <t>Chemie - Industrie Agrar Bau Öl</t>
  </si>
  <si>
    <t>BASF</t>
  </si>
  <si>
    <t>BASF11 DE</t>
  </si>
  <si>
    <r>
      <t>Abwärts - -1</t>
    </r>
    <r>
      <rPr>
        <sz val="12"/>
        <color theme="1"/>
        <rFont val="Calibri"/>
        <family val="2"/>
        <charset val="204"/>
        <scheme val="minor"/>
      </rPr>
      <t>6</t>
    </r>
    <r>
      <rPr>
        <sz val="12"/>
        <color theme="1"/>
        <rFont val="Calibri"/>
        <family val="2"/>
        <charset val="204"/>
        <scheme val="minor"/>
      </rPr>
      <t>,</t>
    </r>
    <r>
      <rPr>
        <sz val="12"/>
        <color theme="1"/>
        <rFont val="Calibri"/>
        <family val="2"/>
        <charset val="204"/>
        <scheme val="minor"/>
      </rPr>
      <t>59</t>
    </r>
    <r>
      <rPr>
        <sz val="12"/>
        <color theme="1"/>
        <rFont val="Calibri"/>
        <family val="2"/>
        <charset val="204"/>
        <scheme val="minor"/>
      </rPr>
      <t>%</t>
    </r>
  </si>
  <si>
    <t>Salesforce.com</t>
  </si>
  <si>
    <t xml:space="preserve">zyklisch - Luxusgüter - Kosmetik Spirituosen Mode </t>
  </si>
  <si>
    <t>LVMH</t>
  </si>
  <si>
    <t>853292 FR</t>
  </si>
  <si>
    <r>
      <t>Abwärts - -8,</t>
    </r>
    <r>
      <rPr>
        <sz val="12"/>
        <color theme="1"/>
        <rFont val="Calibri"/>
        <family val="2"/>
        <charset val="204"/>
        <scheme val="minor"/>
      </rPr>
      <t>89</t>
    </r>
    <r>
      <rPr>
        <sz val="12"/>
        <color theme="1"/>
        <rFont val="Calibri"/>
        <family val="2"/>
        <charset val="204"/>
        <scheme val="minor"/>
      </rPr>
      <t>%</t>
    </r>
  </si>
  <si>
    <t>Dienstleister - Gesundheitsfürs. Pflege Altenpflege Betreiber Einricht. pflegebed. Menschen</t>
  </si>
  <si>
    <t>Orpea</t>
  </si>
  <si>
    <t>575626 FR</t>
  </si>
  <si>
    <r>
      <t xml:space="preserve">Aufwärts - </t>
    </r>
    <r>
      <rPr>
        <sz val="12"/>
        <color theme="1"/>
        <rFont val="Calibri"/>
        <family val="2"/>
        <charset val="204"/>
        <scheme val="minor"/>
      </rPr>
      <t>16,22</t>
    </r>
    <r>
      <rPr>
        <sz val="12"/>
        <color theme="1"/>
        <rFont val="Calibri"/>
        <family val="2"/>
        <charset val="204"/>
        <scheme val="minor"/>
      </rPr>
      <t>%</t>
    </r>
  </si>
  <si>
    <t>Software - Cloud Computing</t>
  </si>
  <si>
    <t>A0B87V US</t>
  </si>
  <si>
    <r>
      <t>Ab</t>
    </r>
    <r>
      <rPr>
        <sz val="12"/>
        <color theme="1"/>
        <rFont val="Calibri"/>
        <family val="2"/>
        <charset val="204"/>
        <scheme val="minor"/>
      </rPr>
      <t xml:space="preserve">wärts - </t>
    </r>
    <r>
      <rPr>
        <sz val="12"/>
        <color theme="1"/>
        <rFont val="Calibri"/>
        <family val="2"/>
        <charset val="204"/>
        <scheme val="minor"/>
      </rPr>
      <t>10</t>
    </r>
    <r>
      <rPr>
        <sz val="12"/>
        <color theme="1"/>
        <rFont val="Calibri"/>
        <family val="2"/>
        <charset val="204"/>
        <scheme val="minor"/>
      </rPr>
      <t>,</t>
    </r>
    <r>
      <rPr>
        <sz val="12"/>
        <color theme="1"/>
        <rFont val="Calibri"/>
        <family val="2"/>
        <charset val="204"/>
        <scheme val="minor"/>
      </rPr>
      <t>16</t>
    </r>
    <r>
      <rPr>
        <sz val="12"/>
        <color theme="1"/>
        <rFont val="Calibri"/>
        <family val="2"/>
        <charset val="204"/>
        <scheme val="minor"/>
      </rPr>
      <t>%</t>
    </r>
  </si>
  <si>
    <t>Abwärts - -4,86%</t>
  </si>
  <si>
    <r>
      <t>Abwärts</t>
    </r>
    <r>
      <rPr>
        <sz val="12"/>
        <color theme="1"/>
        <rFont val="Calibri"/>
        <family val="2"/>
        <charset val="204"/>
        <scheme val="minor"/>
      </rPr>
      <t xml:space="preserve"> - -</t>
    </r>
    <r>
      <rPr>
        <sz val="12"/>
        <color theme="1"/>
        <rFont val="Calibri"/>
        <family val="2"/>
        <charset val="204"/>
        <scheme val="minor"/>
      </rPr>
      <t>9,43%</t>
    </r>
  </si>
  <si>
    <r>
      <t>Abwärts - -</t>
    </r>
    <r>
      <rPr>
        <sz val="12"/>
        <color theme="1"/>
        <rFont val="Calibri"/>
        <family val="2"/>
        <charset val="204"/>
        <scheme val="minor"/>
      </rPr>
      <t>9,18%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</si>
  <si>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20.11.2018</t>
    </r>
  </si>
  <si>
    <t>Mittags</t>
  </si>
  <si>
    <r>
      <t>A</t>
    </r>
    <r>
      <rPr>
        <sz val="12"/>
        <color theme="1"/>
        <rFont val="Calibri"/>
        <family val="2"/>
        <charset val="204"/>
        <scheme val="minor"/>
      </rPr>
      <t>bwärts - 9,21%</t>
    </r>
  </si>
  <si>
    <r>
      <t>Abwärts - -</t>
    </r>
    <r>
      <rPr>
        <sz val="12"/>
        <color theme="1"/>
        <rFont val="Calibri"/>
        <family val="2"/>
        <charset val="204"/>
        <scheme val="minor"/>
      </rPr>
      <t>9,75%</t>
    </r>
  </si>
  <si>
    <t>Medizintechnik Geräte Zahnt. Tiergesundh.</t>
  </si>
  <si>
    <t>Henry Schein</t>
  </si>
  <si>
    <t>897961 US</t>
  </si>
  <si>
    <r>
      <t>Wert 31.12.201</t>
    </r>
    <r>
      <rPr>
        <sz val="12"/>
        <color theme="1"/>
        <rFont val="Calibri"/>
        <family val="2"/>
        <charset val="204"/>
        <scheme val="minor"/>
      </rPr>
      <t>8</t>
    </r>
  </si>
  <si>
    <t>Verkehr Hersteller</t>
  </si>
  <si>
    <t>BMW</t>
  </si>
  <si>
    <t>519003 DE</t>
  </si>
  <si>
    <t>Sonstige Dienstl. Kontrollen Analyse Prüf- Abnahme</t>
  </si>
  <si>
    <t>FR</t>
  </si>
  <si>
    <t>Internet Neue Technologien Suchmaschine</t>
  </si>
  <si>
    <t>Baidu</t>
  </si>
  <si>
    <t>A0F5DE CN</t>
  </si>
  <si>
    <t>CN</t>
  </si>
  <si>
    <t>A2PA4R GB</t>
  </si>
  <si>
    <t>ist ein Sonntag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</si>
</sst>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8">
    <xf numFmtId="0" fontId="0" fillId="0" borderId="0"/>
    <xf numFmtId="0" fontId="16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0" fontId="15" fillId="0" borderId="0" xfId="0" applyFont="1"/>
    <xf numFmtId="4" fontId="15" fillId="0" borderId="0" xfId="0" applyNumberFormat="1" applyFont="1"/>
    <xf numFmtId="10" fontId="15" fillId="0" borderId="0" xfId="0" applyNumberFormat="1" applyFont="1"/>
    <xf numFmtId="0" fontId="17" fillId="0" borderId="0" xfId="0" applyFont="1"/>
    <xf numFmtId="0" fontId="15" fillId="0" borderId="1" xfId="0" applyFont="1" applyBorder="1"/>
    <xf numFmtId="4" fontId="15" fillId="0" borderId="1" xfId="0" applyNumberFormat="1" applyFont="1" applyBorder="1"/>
    <xf numFmtId="10" fontId="15" fillId="0" borderId="1" xfId="0" applyNumberFormat="1" applyFont="1" applyBorder="1"/>
    <xf numFmtId="4" fontId="15" fillId="0" borderId="1" xfId="0" applyNumberFormat="1" applyFont="1" applyBorder="1" applyAlignment="1">
      <alignment wrapText="1"/>
    </xf>
    <xf numFmtId="10" fontId="15" fillId="0" borderId="1" xfId="0" applyNumberFormat="1" applyFont="1" applyBorder="1" applyAlignment="1">
      <alignment wrapText="1"/>
    </xf>
    <xf numFmtId="0" fontId="17" fillId="0" borderId="1" xfId="0" applyFont="1" applyBorder="1"/>
    <xf numFmtId="4" fontId="17" fillId="0" borderId="1" xfId="0" applyNumberFormat="1" applyFont="1" applyBorder="1"/>
    <xf numFmtId="10" fontId="17" fillId="0" borderId="1" xfId="0" applyNumberFormat="1" applyFont="1" applyBorder="1"/>
    <xf numFmtId="0" fontId="14" fillId="2" borderId="0" xfId="0" applyFont="1" applyFill="1"/>
    <xf numFmtId="0" fontId="15" fillId="2" borderId="0" xfId="0" applyFont="1" applyFill="1"/>
    <xf numFmtId="4" fontId="15" fillId="2" borderId="0" xfId="0" applyNumberFormat="1" applyFont="1" applyFill="1"/>
    <xf numFmtId="10" fontId="15" fillId="2" borderId="0" xfId="0" applyNumberFormat="1" applyFont="1" applyFill="1"/>
    <xf numFmtId="1" fontId="13" fillId="0" borderId="1" xfId="0" applyNumberFormat="1" applyFont="1" applyBorder="1" applyAlignment="1">
      <alignment wrapText="1"/>
    </xf>
    <xf numFmtId="1" fontId="15" fillId="0" borderId="1" xfId="0" applyNumberFormat="1" applyFont="1" applyBorder="1"/>
    <xf numFmtId="1" fontId="17" fillId="0" borderId="1" xfId="0" applyNumberFormat="1" applyFont="1" applyBorder="1"/>
    <xf numFmtId="1" fontId="15" fillId="2" borderId="0" xfId="0" applyNumberFormat="1" applyFont="1" applyFill="1"/>
    <xf numFmtId="1" fontId="15" fillId="0" borderId="0" xfId="0" applyNumberFormat="1" applyFont="1"/>
    <xf numFmtId="4" fontId="13" fillId="0" borderId="1" xfId="0" applyNumberFormat="1" applyFont="1" applyBorder="1"/>
    <xf numFmtId="10" fontId="13" fillId="0" borderId="1" xfId="0" applyNumberFormat="1" applyFont="1" applyBorder="1" applyAlignment="1">
      <alignment wrapText="1"/>
    </xf>
    <xf numFmtId="4" fontId="12" fillId="2" borderId="0" xfId="0" applyNumberFormat="1" applyFont="1" applyFill="1"/>
    <xf numFmtId="4" fontId="12" fillId="0" borderId="1" xfId="0" applyNumberFormat="1" applyFont="1" applyBorder="1" applyAlignment="1">
      <alignment wrapText="1"/>
    </xf>
    <xf numFmtId="4" fontId="12" fillId="0" borderId="1" xfId="0" applyNumberFormat="1" applyFont="1" applyBorder="1"/>
    <xf numFmtId="0" fontId="12" fillId="2" borderId="0" xfId="0" applyFont="1" applyFill="1"/>
    <xf numFmtId="4" fontId="11" fillId="0" borderId="1" xfId="0" applyNumberFormat="1" applyFont="1" applyBorder="1"/>
    <xf numFmtId="0" fontId="10" fillId="0" borderId="1" xfId="0" applyFont="1" applyBorder="1"/>
    <xf numFmtId="4" fontId="10" fillId="0" borderId="1" xfId="0" applyNumberFormat="1" applyFont="1" applyBorder="1" applyAlignment="1">
      <alignment wrapText="1"/>
    </xf>
    <xf numFmtId="10" fontId="10" fillId="0" borderId="1" xfId="0" applyNumberFormat="1" applyFont="1" applyBorder="1"/>
    <xf numFmtId="1" fontId="10" fillId="0" borderId="1" xfId="0" applyNumberFormat="1" applyFont="1" applyBorder="1" applyAlignment="1">
      <alignment wrapText="1"/>
    </xf>
    <xf numFmtId="4" fontId="10" fillId="0" borderId="1" xfId="0" applyNumberFormat="1" applyFont="1" applyBorder="1"/>
    <xf numFmtId="10" fontId="10" fillId="0" borderId="1" xfId="0" applyNumberFormat="1" applyFont="1" applyBorder="1" applyAlignment="1">
      <alignment wrapText="1"/>
    </xf>
    <xf numFmtId="0" fontId="10" fillId="0" borderId="0" xfId="0" applyFont="1"/>
    <xf numFmtId="1" fontId="10" fillId="0" borderId="1" xfId="0" applyNumberFormat="1" applyFont="1" applyBorder="1"/>
    <xf numFmtId="0" fontId="10" fillId="0" borderId="1" xfId="0" applyFont="1" applyFill="1" applyBorder="1"/>
    <xf numFmtId="0" fontId="21" fillId="0" borderId="1" xfId="0" applyFont="1" applyBorder="1"/>
    <xf numFmtId="0" fontId="0" fillId="0" borderId="1" xfId="0" applyFont="1" applyBorder="1" applyAlignment="1">
      <alignment wrapText="1"/>
    </xf>
    <xf numFmtId="0" fontId="10" fillId="2" borderId="0" xfId="0" applyFont="1" applyFill="1"/>
    <xf numFmtId="4" fontId="10" fillId="2" borderId="0" xfId="0" applyNumberFormat="1" applyFont="1" applyFill="1"/>
    <xf numFmtId="10" fontId="10" fillId="2" borderId="0" xfId="0" applyNumberFormat="1" applyFont="1" applyFill="1"/>
    <xf numFmtId="1" fontId="10" fillId="2" borderId="0" xfId="0" applyNumberFormat="1" applyFont="1" applyFill="1"/>
    <xf numFmtId="4" fontId="10" fillId="0" borderId="0" xfId="0" applyNumberFormat="1" applyFont="1"/>
    <xf numFmtId="10" fontId="10" fillId="0" borderId="0" xfId="0" applyNumberFormat="1" applyFont="1"/>
    <xf numFmtId="1" fontId="10" fillId="0" borderId="0" xfId="0" applyNumberFormat="1" applyFont="1"/>
    <xf numFmtId="4" fontId="9" fillId="0" borderId="1" xfId="0" applyNumberFormat="1" applyFont="1" applyBorder="1" applyAlignment="1">
      <alignment wrapText="1"/>
    </xf>
    <xf numFmtId="0" fontId="9" fillId="0" borderId="0" xfId="0" applyFont="1"/>
    <xf numFmtId="14" fontId="15" fillId="0" borderId="0" xfId="0" applyNumberFormat="1" applyFont="1"/>
    <xf numFmtId="0" fontId="9" fillId="2" borderId="0" xfId="0" applyFont="1" applyFill="1"/>
    <xf numFmtId="0" fontId="9" fillId="0" borderId="1" xfId="0" applyFont="1" applyBorder="1"/>
    <xf numFmtId="4" fontId="9" fillId="0" borderId="0" xfId="0" applyNumberFormat="1" applyFont="1"/>
    <xf numFmtId="10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0" xfId="0" applyFont="1"/>
    <xf numFmtId="0" fontId="22" fillId="0" borderId="0" xfId="0" applyFont="1"/>
    <xf numFmtId="0" fontId="7" fillId="2" borderId="0" xfId="0" applyFont="1" applyFill="1"/>
    <xf numFmtId="0" fontId="7" fillId="0" borderId="1" xfId="0" applyFont="1" applyBorder="1"/>
    <xf numFmtId="0" fontId="7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0" fontId="7" fillId="0" borderId="0" xfId="0" applyFont="1"/>
    <xf numFmtId="10" fontId="17" fillId="0" borderId="0" xfId="0" applyNumberFormat="1" applyFont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2" borderId="0" xfId="0" applyFont="1" applyFill="1"/>
    <xf numFmtId="4" fontId="5" fillId="0" borderId="1" xfId="0" applyNumberFormat="1" applyFont="1" applyBorder="1" applyAlignment="1">
      <alignment wrapText="1"/>
    </xf>
    <xf numFmtId="0" fontId="5" fillId="0" borderId="0" xfId="0" applyFont="1"/>
    <xf numFmtId="0" fontId="4" fillId="0" borderId="1" xfId="0" applyFont="1" applyBorder="1"/>
    <xf numFmtId="4" fontId="4" fillId="0" borderId="1" xfId="0" applyNumberFormat="1" applyFont="1" applyBorder="1" applyAlignment="1">
      <alignment wrapText="1"/>
    </xf>
    <xf numFmtId="0" fontId="4" fillId="0" borderId="1" xfId="0" applyFont="1" applyFill="1" applyBorder="1"/>
    <xf numFmtId="0" fontId="3" fillId="0" borderId="1" xfId="0" applyFont="1" applyBorder="1"/>
    <xf numFmtId="0" fontId="2" fillId="0" borderId="1" xfId="0" applyFont="1" applyBorder="1"/>
  </cellXfs>
  <cellStyles count="248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Besuchter Link" xfId="231" builtinId="9" hidden="1"/>
    <cellStyle name="Besuchter Link" xfId="233" builtinId="9" hidden="1"/>
    <cellStyle name="Besuchter Link" xfId="235" builtinId="9" hidden="1"/>
    <cellStyle name="Besuchter Link" xfId="237" builtinId="9" hidden="1"/>
    <cellStyle name="Besuchter Link" xfId="239" builtinId="9" hidden="1"/>
    <cellStyle name="Besuchter Link" xfId="241" builtinId="9" hidden="1"/>
    <cellStyle name="Besuchter Link" xfId="243" builtinId="9" hidden="1"/>
    <cellStyle name="Besuchter Link" xfId="245" builtinId="9" hidden="1"/>
    <cellStyle name="Besuchter Link" xfId="247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1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2" sqref="S12"/>
    </sheetView>
  </sheetViews>
  <sheetFormatPr baseColWidth="10" defaultRowHeight="15" x14ac:dyDescent="0"/>
  <cols>
    <col min="1" max="1" width="19" style="1" bestFit="1" customWidth="1"/>
    <col min="2" max="2" width="32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1.332031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18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25" t="s">
        <v>77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122</v>
      </c>
      <c r="O1" s="47" t="s">
        <v>123</v>
      </c>
      <c r="P1" s="47" t="s">
        <v>124</v>
      </c>
      <c r="Q1" s="7" t="s">
        <v>3</v>
      </c>
      <c r="R1" s="9" t="s">
        <v>70</v>
      </c>
      <c r="S1" s="23" t="s">
        <v>74</v>
      </c>
      <c r="T1" s="53" t="s">
        <v>154</v>
      </c>
    </row>
    <row r="2" spans="1:20">
      <c r="A2" s="5" t="s">
        <v>4</v>
      </c>
      <c r="B2" s="5" t="s">
        <v>5</v>
      </c>
      <c r="C2" s="5" t="s">
        <v>6</v>
      </c>
      <c r="D2" s="5" t="s">
        <v>58</v>
      </c>
      <c r="E2" s="5" t="s">
        <v>7</v>
      </c>
      <c r="F2" s="5" t="s">
        <v>7</v>
      </c>
      <c r="G2" s="5" t="s">
        <v>14</v>
      </c>
      <c r="H2" s="6">
        <f t="shared" ref="H2:H11" si="0">L2*M2</f>
        <v>999.02</v>
      </c>
      <c r="I2" s="7"/>
      <c r="J2" s="5" t="s">
        <v>52</v>
      </c>
      <c r="K2" s="6">
        <v>45.405000000000001</v>
      </c>
      <c r="L2" s="18">
        <v>22</v>
      </c>
      <c r="M2" s="6">
        <v>45.41</v>
      </c>
      <c r="N2" s="6">
        <v>39.770000000000003</v>
      </c>
      <c r="O2" s="6">
        <f>N2</f>
        <v>39.770000000000003</v>
      </c>
      <c r="P2" s="6">
        <f t="shared" ref="P2:P11" si="1">L2*O2</f>
        <v>874.94</v>
      </c>
      <c r="Q2" s="7"/>
      <c r="R2" s="7">
        <f t="shared" ref="R2:R12" si="2">(P2-H2)/H2</f>
        <v>-0.12420171768332959</v>
      </c>
      <c r="S2" s="7"/>
      <c r="T2" s="7">
        <v>0.02</v>
      </c>
    </row>
    <row r="3" spans="1:20">
      <c r="A3" s="5" t="s">
        <v>4</v>
      </c>
      <c r="B3" s="5" t="s">
        <v>8</v>
      </c>
      <c r="C3" s="5" t="s">
        <v>9</v>
      </c>
      <c r="D3" s="5" t="s">
        <v>59</v>
      </c>
      <c r="E3" s="5" t="s">
        <v>10</v>
      </c>
      <c r="F3" s="5" t="s">
        <v>15</v>
      </c>
      <c r="G3" s="5" t="s">
        <v>16</v>
      </c>
      <c r="H3" s="6">
        <f t="shared" si="0"/>
        <v>985.6</v>
      </c>
      <c r="I3" s="7">
        <f>(H2+H3)/H12</f>
        <v>0.19926243721027365</v>
      </c>
      <c r="J3" s="5" t="s">
        <v>60</v>
      </c>
      <c r="K3" s="6">
        <v>61.6</v>
      </c>
      <c r="L3" s="18">
        <v>16</v>
      </c>
      <c r="M3" s="6">
        <v>61.6</v>
      </c>
      <c r="N3" s="6">
        <v>78.12</v>
      </c>
      <c r="O3" s="6">
        <f>N3</f>
        <v>78.12</v>
      </c>
      <c r="P3" s="6">
        <f t="shared" si="1"/>
        <v>1249.92</v>
      </c>
      <c r="Q3" s="7">
        <f>(P2+P3)/P12</f>
        <v>0.17836348591429171</v>
      </c>
      <c r="R3" s="7">
        <f t="shared" si="2"/>
        <v>0.26818181818181824</v>
      </c>
      <c r="S3" s="7"/>
      <c r="T3" s="7">
        <v>1.4999999999999999E-2</v>
      </c>
    </row>
    <row r="4" spans="1:20">
      <c r="A4" s="5" t="s">
        <v>26</v>
      </c>
      <c r="B4" s="5" t="s">
        <v>27</v>
      </c>
      <c r="C4" s="5" t="s">
        <v>28</v>
      </c>
      <c r="D4" s="5" t="s">
        <v>61</v>
      </c>
      <c r="E4" s="5" t="s">
        <v>29</v>
      </c>
      <c r="F4" s="5" t="s">
        <v>30</v>
      </c>
      <c r="G4" s="5" t="s">
        <v>31</v>
      </c>
      <c r="H4" s="6">
        <f t="shared" si="0"/>
        <v>1019.43</v>
      </c>
      <c r="I4" s="7"/>
      <c r="J4" s="5" t="s">
        <v>53</v>
      </c>
      <c r="K4" s="6">
        <v>113.27</v>
      </c>
      <c r="L4" s="18">
        <v>9</v>
      </c>
      <c r="M4" s="6">
        <f>K4</f>
        <v>113.27</v>
      </c>
      <c r="N4" s="6">
        <v>133.09</v>
      </c>
      <c r="O4" s="6">
        <f>N4</f>
        <v>133.09</v>
      </c>
      <c r="P4" s="6">
        <f t="shared" si="1"/>
        <v>1197.81</v>
      </c>
      <c r="Q4" s="7"/>
      <c r="R4" s="7">
        <f t="shared" si="2"/>
        <v>0.17498013595832965</v>
      </c>
      <c r="S4" s="7"/>
      <c r="T4" s="7">
        <v>0.01</v>
      </c>
    </row>
    <row r="5" spans="1:20">
      <c r="A5" s="5" t="s">
        <v>26</v>
      </c>
      <c r="B5" s="5" t="s">
        <v>32</v>
      </c>
      <c r="C5" s="5" t="s">
        <v>33</v>
      </c>
      <c r="D5" s="5" t="s">
        <v>57</v>
      </c>
      <c r="E5" s="5" t="s">
        <v>10</v>
      </c>
      <c r="F5" s="5" t="s">
        <v>34</v>
      </c>
      <c r="G5" s="5" t="s">
        <v>35</v>
      </c>
      <c r="H5" s="6">
        <f t="shared" si="0"/>
        <v>993.6</v>
      </c>
      <c r="I5" s="7">
        <f>(H4+H5)/H12</f>
        <v>0.20211489553536557</v>
      </c>
      <c r="J5" s="5" t="s">
        <v>54</v>
      </c>
      <c r="K5" s="6">
        <v>23.08</v>
      </c>
      <c r="L5" s="18">
        <v>40</v>
      </c>
      <c r="M5" s="6">
        <v>24.84</v>
      </c>
      <c r="N5" s="6">
        <v>23.94</v>
      </c>
      <c r="O5" s="6">
        <f>N5*B19</f>
        <v>27.80631</v>
      </c>
      <c r="P5" s="6">
        <f t="shared" si="1"/>
        <v>1112.2524000000001</v>
      </c>
      <c r="Q5" s="7">
        <f>(P4+P5)/P12</f>
        <v>0.19390961397152512</v>
      </c>
      <c r="R5" s="7">
        <f t="shared" si="2"/>
        <v>0.11941666666666673</v>
      </c>
      <c r="S5" s="7"/>
      <c r="T5" s="7">
        <v>0.02</v>
      </c>
    </row>
    <row r="6" spans="1:20">
      <c r="A6" s="5" t="s">
        <v>38</v>
      </c>
      <c r="B6" s="5" t="s">
        <v>39</v>
      </c>
      <c r="C6" s="5" t="s">
        <v>40</v>
      </c>
      <c r="D6" s="5" t="s">
        <v>62</v>
      </c>
      <c r="E6" s="5" t="s">
        <v>20</v>
      </c>
      <c r="F6" s="5" t="s">
        <v>41</v>
      </c>
      <c r="G6" s="5" t="s">
        <v>42</v>
      </c>
      <c r="H6" s="6">
        <f t="shared" si="0"/>
        <v>1006.08</v>
      </c>
      <c r="I6" s="7"/>
      <c r="J6" s="5" t="s">
        <v>54</v>
      </c>
      <c r="K6" s="6">
        <v>63.04</v>
      </c>
      <c r="L6" s="18">
        <v>24</v>
      </c>
      <c r="M6" s="6">
        <v>41.92</v>
      </c>
      <c r="N6" s="6">
        <v>89.24</v>
      </c>
      <c r="O6" s="6">
        <f>N6*B21</f>
        <v>59.076880000000003</v>
      </c>
      <c r="P6" s="6">
        <f t="shared" si="1"/>
        <v>1417.84512</v>
      </c>
      <c r="Q6" s="7"/>
      <c r="R6" s="7">
        <f t="shared" si="2"/>
        <v>0.40927671755725181</v>
      </c>
      <c r="S6" s="7"/>
      <c r="T6" s="7">
        <v>0</v>
      </c>
    </row>
    <row r="7" spans="1:20">
      <c r="A7" s="5" t="s">
        <v>38</v>
      </c>
      <c r="B7" s="5" t="s">
        <v>43</v>
      </c>
      <c r="C7" s="5" t="s">
        <v>44</v>
      </c>
      <c r="D7" s="5" t="s">
        <v>63</v>
      </c>
      <c r="E7" s="5" t="s">
        <v>29</v>
      </c>
      <c r="F7" s="5" t="s">
        <v>45</v>
      </c>
      <c r="G7" s="5" t="s">
        <v>22</v>
      </c>
      <c r="H7" s="6">
        <f t="shared" si="0"/>
        <v>992.32</v>
      </c>
      <c r="I7" s="7">
        <f>(H6+H7)/H12</f>
        <v>0.20064599496176141</v>
      </c>
      <c r="J7" s="5" t="s">
        <v>64</v>
      </c>
      <c r="K7" s="6">
        <v>36.92</v>
      </c>
      <c r="L7" s="18">
        <v>32</v>
      </c>
      <c r="M7" s="6">
        <v>31.01</v>
      </c>
      <c r="N7" s="6">
        <v>39.39</v>
      </c>
      <c r="O7" s="6">
        <f>N7*B18</f>
        <v>34.667138999999999</v>
      </c>
      <c r="P7" s="6">
        <f t="shared" si="1"/>
        <v>1109.348448</v>
      </c>
      <c r="Q7" s="7">
        <f>(P6+P7)/P12</f>
        <v>0.21213588394936914</v>
      </c>
      <c r="R7" s="7">
        <f t="shared" si="2"/>
        <v>0.11793418252176707</v>
      </c>
      <c r="S7" s="7"/>
      <c r="T7" s="7">
        <v>0.03</v>
      </c>
    </row>
    <row r="8" spans="1:20">
      <c r="A8" s="5" t="s">
        <v>17</v>
      </c>
      <c r="B8" s="5" t="s">
        <v>18</v>
      </c>
      <c r="C8" s="5" t="s">
        <v>19</v>
      </c>
      <c r="D8" s="5" t="s">
        <v>65</v>
      </c>
      <c r="E8" s="5" t="s">
        <v>20</v>
      </c>
      <c r="F8" s="5" t="s">
        <v>21</v>
      </c>
      <c r="G8" s="5" t="s">
        <v>22</v>
      </c>
      <c r="H8" s="6">
        <f t="shared" si="0"/>
        <v>989.01</v>
      </c>
      <c r="I8" s="7"/>
      <c r="J8" s="5" t="s">
        <v>66</v>
      </c>
      <c r="K8" s="6">
        <v>130.87</v>
      </c>
      <c r="L8" s="18">
        <v>9</v>
      </c>
      <c r="M8" s="6">
        <v>109.89</v>
      </c>
      <c r="N8" s="6">
        <v>170.16</v>
      </c>
      <c r="O8" s="6">
        <f>N8*B18</f>
        <v>149.75781599999999</v>
      </c>
      <c r="P8" s="6">
        <f t="shared" si="1"/>
        <v>1347.820344</v>
      </c>
      <c r="Q8" s="7"/>
      <c r="R8" s="7">
        <f t="shared" si="2"/>
        <v>0.36279748839748838</v>
      </c>
      <c r="S8" s="7"/>
      <c r="T8" s="7">
        <v>1.2E-2</v>
      </c>
    </row>
    <row r="9" spans="1:20">
      <c r="A9" s="5" t="s">
        <v>17</v>
      </c>
      <c r="B9" s="5" t="s">
        <v>23</v>
      </c>
      <c r="C9" s="5" t="s">
        <v>24</v>
      </c>
      <c r="D9" s="5" t="s">
        <v>67</v>
      </c>
      <c r="E9" s="5" t="s">
        <v>20</v>
      </c>
      <c r="F9" s="5" t="s">
        <v>21</v>
      </c>
      <c r="G9" s="5" t="s">
        <v>22</v>
      </c>
      <c r="H9" s="6">
        <f t="shared" si="0"/>
        <v>1016.3699999999999</v>
      </c>
      <c r="I9" s="7">
        <f>(H8+H9)/H12</f>
        <v>0.20134681013631758</v>
      </c>
      <c r="J9" s="5" t="s">
        <v>53</v>
      </c>
      <c r="K9" s="6">
        <v>52.73</v>
      </c>
      <c r="L9" s="18">
        <v>23</v>
      </c>
      <c r="M9" s="6">
        <v>44.19</v>
      </c>
      <c r="N9" s="6">
        <v>87.16</v>
      </c>
      <c r="O9" s="6">
        <f>N9*B18</f>
        <v>76.709515999999994</v>
      </c>
      <c r="P9" s="6">
        <f t="shared" si="1"/>
        <v>1764.3188679999998</v>
      </c>
      <c r="Q9" s="7">
        <f>(P8+P9)/P12</f>
        <v>0.26123697490793601</v>
      </c>
      <c r="R9" s="7">
        <f t="shared" si="2"/>
        <v>0.73590214980764879</v>
      </c>
      <c r="S9" s="7"/>
      <c r="T9" s="7">
        <v>1.4999999999999999E-2</v>
      </c>
    </row>
    <row r="10" spans="1:20">
      <c r="A10" s="5" t="s">
        <v>25</v>
      </c>
      <c r="B10" s="5" t="s">
        <v>36</v>
      </c>
      <c r="C10" s="5" t="s">
        <v>37</v>
      </c>
      <c r="D10" s="5" t="s">
        <v>68</v>
      </c>
      <c r="E10" s="5" t="s">
        <v>20</v>
      </c>
      <c r="F10" s="5" t="s">
        <v>21</v>
      </c>
      <c r="G10" s="5" t="s">
        <v>22</v>
      </c>
      <c r="H10" s="6">
        <f t="shared" si="0"/>
        <v>966.06000000000006</v>
      </c>
      <c r="I10" s="7">
        <f>H10/H12</f>
        <v>9.6995631451540845E-2</v>
      </c>
      <c r="J10" s="5" t="s">
        <v>53</v>
      </c>
      <c r="K10" s="6">
        <v>63.94</v>
      </c>
      <c r="L10" s="18">
        <v>18</v>
      </c>
      <c r="M10" s="6">
        <v>53.67</v>
      </c>
      <c r="N10" s="6">
        <v>52.75</v>
      </c>
      <c r="O10" s="6">
        <f>N10*B18</f>
        <v>46.425274999999999</v>
      </c>
      <c r="P10" s="6">
        <f t="shared" si="1"/>
        <v>835.65494999999999</v>
      </c>
      <c r="Q10" s="7">
        <f>P10/P12</f>
        <v>7.014595309974922E-2</v>
      </c>
      <c r="R10" s="7">
        <f t="shared" si="2"/>
        <v>-0.13498649152226577</v>
      </c>
      <c r="S10" s="7"/>
      <c r="T10" s="7">
        <v>0.04</v>
      </c>
    </row>
    <row r="11" spans="1:20">
      <c r="A11" s="5" t="s">
        <v>46</v>
      </c>
      <c r="B11" s="5" t="s">
        <v>47</v>
      </c>
      <c r="C11" s="5" t="s">
        <v>48</v>
      </c>
      <c r="D11" s="5" t="s">
        <v>69</v>
      </c>
      <c r="E11" s="5" t="s">
        <v>10</v>
      </c>
      <c r="F11" s="5" t="s">
        <v>49</v>
      </c>
      <c r="G11" s="5" t="s">
        <v>50</v>
      </c>
      <c r="H11" s="6">
        <f t="shared" si="0"/>
        <v>992.34</v>
      </c>
      <c r="I11" s="7">
        <f>H11/H12</f>
        <v>9.963423070474095E-2</v>
      </c>
      <c r="J11" s="5" t="s">
        <v>53</v>
      </c>
      <c r="K11" s="6">
        <v>256.14999999999998</v>
      </c>
      <c r="L11" s="18">
        <v>37</v>
      </c>
      <c r="M11" s="6">
        <v>26.82</v>
      </c>
      <c r="N11" s="6">
        <v>285.7</v>
      </c>
      <c r="O11" s="6">
        <f>N11*B22</f>
        <v>27.112929999999999</v>
      </c>
      <c r="P11" s="6">
        <f t="shared" si="1"/>
        <v>1003.17841</v>
      </c>
      <c r="Q11" s="7">
        <f>P11/P12</f>
        <v>8.4208088157128727E-2</v>
      </c>
      <c r="R11" s="7">
        <f t="shared" si="2"/>
        <v>1.0922073079791154E-2</v>
      </c>
      <c r="S11" s="7"/>
      <c r="T11" s="7">
        <v>2.5999999999999999E-2</v>
      </c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9959.83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11913.088540000001</v>
      </c>
      <c r="Q12" s="12"/>
      <c r="R12" s="12">
        <f t="shared" si="2"/>
        <v>0.19611364250193034</v>
      </c>
      <c r="S12" s="12">
        <v>0.1268</v>
      </c>
      <c r="T12" s="12">
        <f>AVERAGE(T2:T11)</f>
        <v>1.8800000000000001E-2</v>
      </c>
    </row>
    <row r="13" spans="1:20">
      <c r="S13" s="62"/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27" t="s">
        <v>76</v>
      </c>
      <c r="K14" s="15">
        <v>1947.53</v>
      </c>
      <c r="L14" s="20"/>
      <c r="M14" s="15"/>
      <c r="N14" s="15">
        <v>2085.84</v>
      </c>
      <c r="O14" s="15"/>
      <c r="P14" s="15"/>
      <c r="Q14" s="16"/>
      <c r="R14" s="16">
        <f>(N14-K14)/K14</f>
        <v>7.1018161466062227E-2</v>
      </c>
      <c r="S14" s="16">
        <v>4.6800000000000001E-2</v>
      </c>
    </row>
    <row r="17" spans="1:3">
      <c r="A17" s="35" t="s">
        <v>117</v>
      </c>
      <c r="B17" s="48" t="s">
        <v>151</v>
      </c>
    </row>
    <row r="18" spans="1:3">
      <c r="A18" s="35" t="s">
        <v>22</v>
      </c>
      <c r="B18" s="35">
        <v>0.88009999999999999</v>
      </c>
    </row>
    <row r="19" spans="1:3">
      <c r="A19" s="35" t="s">
        <v>120</v>
      </c>
      <c r="B19" s="1">
        <v>1.1615</v>
      </c>
    </row>
    <row r="20" spans="1:3">
      <c r="A20" s="35" t="s">
        <v>31</v>
      </c>
      <c r="B20" s="35">
        <v>7.7999999999999996E-3</v>
      </c>
    </row>
    <row r="21" spans="1:3">
      <c r="A21" s="35" t="s">
        <v>42</v>
      </c>
      <c r="B21" s="1">
        <v>0.66200000000000003</v>
      </c>
    </row>
    <row r="22" spans="1:3">
      <c r="A22" s="35" t="s">
        <v>50</v>
      </c>
      <c r="B22" s="35">
        <v>9.4899999999999998E-2</v>
      </c>
    </row>
    <row r="25" spans="1:3">
      <c r="A25" s="48" t="s">
        <v>125</v>
      </c>
      <c r="B25" s="49">
        <v>43527</v>
      </c>
      <c r="C25" s="56" t="s">
        <v>249</v>
      </c>
    </row>
    <row r="26" spans="1:3">
      <c r="A26" s="48" t="s">
        <v>126</v>
      </c>
      <c r="B26" s="2">
        <v>1.5</v>
      </c>
    </row>
    <row r="29" spans="1:3">
      <c r="A29" s="48" t="s">
        <v>152</v>
      </c>
    </row>
    <row r="30" spans="1:3">
      <c r="A30" s="48" t="s">
        <v>153</v>
      </c>
      <c r="B30" s="52">
        <v>1.2</v>
      </c>
    </row>
    <row r="31" spans="1:3">
      <c r="A31" s="48"/>
    </row>
  </sheetData>
  <phoneticPr fontId="20" type="noConversion"/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3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2" sqref="T12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78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7" t="s">
        <v>122</v>
      </c>
      <c r="O1" s="47" t="s">
        <v>123</v>
      </c>
      <c r="P1" s="47" t="s">
        <v>124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79</v>
      </c>
      <c r="C2" s="29" t="s">
        <v>80</v>
      </c>
      <c r="D2" s="29" t="s">
        <v>81</v>
      </c>
      <c r="E2" s="29" t="s">
        <v>10</v>
      </c>
      <c r="F2" s="29" t="s">
        <v>82</v>
      </c>
      <c r="G2" s="29" t="s">
        <v>83</v>
      </c>
      <c r="H2" s="33">
        <f t="shared" ref="H2:H11" si="0">L2*M2</f>
        <v>1011.2641000000001</v>
      </c>
      <c r="I2" s="31"/>
      <c r="J2" s="29" t="s">
        <v>52</v>
      </c>
      <c r="K2" s="33">
        <v>538.25</v>
      </c>
      <c r="L2" s="36">
        <v>14</v>
      </c>
      <c r="M2" s="33">
        <f>K2*0.1342</f>
        <v>72.233150000000009</v>
      </c>
      <c r="N2" s="33">
        <v>656.6</v>
      </c>
      <c r="O2" s="33">
        <f>N2*B19</f>
        <v>87.853080000000006</v>
      </c>
      <c r="P2" s="33">
        <f t="shared" ref="P2:P11" si="1">L2*O2</f>
        <v>1229.9431200000001</v>
      </c>
      <c r="Q2" s="31"/>
      <c r="R2" s="29"/>
      <c r="S2" s="31">
        <f t="shared" ref="S2:S12" si="2">(P2-H2)/H2</f>
        <v>0.2162432345813522</v>
      </c>
      <c r="T2" s="31"/>
    </row>
    <row r="3" spans="1:20">
      <c r="A3" s="29" t="s">
        <v>4</v>
      </c>
      <c r="B3" s="29" t="s">
        <v>79</v>
      </c>
      <c r="C3" s="37" t="s">
        <v>84</v>
      </c>
      <c r="D3" s="29" t="s">
        <v>85</v>
      </c>
      <c r="E3" s="29" t="s">
        <v>10</v>
      </c>
      <c r="F3" s="29" t="s">
        <v>15</v>
      </c>
      <c r="G3" s="29" t="s">
        <v>16</v>
      </c>
      <c r="H3" s="33">
        <f t="shared" si="0"/>
        <v>833.00199999999995</v>
      </c>
      <c r="I3" s="31">
        <f>(H2+H3)/H12</f>
        <v>0.18956946133798738</v>
      </c>
      <c r="J3" s="29" t="s">
        <v>54</v>
      </c>
      <c r="K3" s="33">
        <v>416.50099999999998</v>
      </c>
      <c r="L3" s="36">
        <v>2</v>
      </c>
      <c r="M3" s="33">
        <f>K3</f>
        <v>416.50099999999998</v>
      </c>
      <c r="N3" s="33">
        <v>326</v>
      </c>
      <c r="O3" s="33">
        <f>N3</f>
        <v>326</v>
      </c>
      <c r="P3" s="33">
        <f t="shared" si="1"/>
        <v>652</v>
      </c>
      <c r="Q3" s="31">
        <f>(P2+P3)/P12</f>
        <v>0.16568371043787852</v>
      </c>
      <c r="R3" s="33"/>
      <c r="S3" s="31">
        <f t="shared" si="2"/>
        <v>-0.2172887940245041</v>
      </c>
      <c r="T3" s="31"/>
    </row>
    <row r="4" spans="1:20">
      <c r="A4" s="29" t="s">
        <v>26</v>
      </c>
      <c r="B4" s="29" t="s">
        <v>86</v>
      </c>
      <c r="C4" s="37" t="s">
        <v>87</v>
      </c>
      <c r="D4" s="29" t="s">
        <v>88</v>
      </c>
      <c r="E4" s="29" t="s">
        <v>10</v>
      </c>
      <c r="F4" s="29" t="s">
        <v>89</v>
      </c>
      <c r="G4" s="29" t="s">
        <v>90</v>
      </c>
      <c r="H4" s="33">
        <f t="shared" si="0"/>
        <v>1204.6383600000001</v>
      </c>
      <c r="I4" s="31"/>
      <c r="J4" s="29" t="s">
        <v>91</v>
      </c>
      <c r="K4" s="33">
        <v>460.7</v>
      </c>
      <c r="L4" s="36">
        <v>3</v>
      </c>
      <c r="M4" s="33">
        <f>K4*0.8716</f>
        <v>401.54612000000003</v>
      </c>
      <c r="N4" s="33">
        <v>404.2</v>
      </c>
      <c r="O4" s="33">
        <f>N4*B18</f>
        <v>355.61516</v>
      </c>
      <c r="P4" s="33">
        <f t="shared" si="1"/>
        <v>1066.84548</v>
      </c>
      <c r="Q4" s="31"/>
      <c r="R4" s="33"/>
      <c r="S4" s="31">
        <f t="shared" si="2"/>
        <v>-0.11438526662889946</v>
      </c>
      <c r="T4" s="31"/>
    </row>
    <row r="5" spans="1:20">
      <c r="A5" s="29" t="s">
        <v>26</v>
      </c>
      <c r="B5" s="38" t="s">
        <v>92</v>
      </c>
      <c r="C5" s="37" t="s">
        <v>93</v>
      </c>
      <c r="D5" s="29" t="s">
        <v>94</v>
      </c>
      <c r="E5" s="29" t="s">
        <v>29</v>
      </c>
      <c r="F5" s="29" t="s">
        <v>95</v>
      </c>
      <c r="G5" s="29" t="s">
        <v>16</v>
      </c>
      <c r="H5" s="33">
        <f t="shared" si="0"/>
        <v>972.774</v>
      </c>
      <c r="I5" s="31"/>
      <c r="J5" s="29" t="s">
        <v>66</v>
      </c>
      <c r="K5" s="33">
        <v>54.042999999999999</v>
      </c>
      <c r="L5" s="36">
        <v>18</v>
      </c>
      <c r="M5" s="33">
        <f>K5</f>
        <v>54.042999999999999</v>
      </c>
      <c r="N5" s="33">
        <v>57.23</v>
      </c>
      <c r="O5" s="33">
        <f>N5</f>
        <v>57.23</v>
      </c>
      <c r="P5" s="33">
        <f t="shared" si="1"/>
        <v>1030.1399999999999</v>
      </c>
      <c r="Q5" s="31"/>
      <c r="R5" s="33"/>
      <c r="S5" s="31">
        <f t="shared" si="2"/>
        <v>5.8971559683955239E-2</v>
      </c>
      <c r="T5" s="31"/>
    </row>
    <row r="6" spans="1:20">
      <c r="A6" s="29" t="s">
        <v>26</v>
      </c>
      <c r="B6" s="38" t="s">
        <v>96</v>
      </c>
      <c r="C6" s="37" t="s">
        <v>97</v>
      </c>
      <c r="D6" s="29" t="s">
        <v>98</v>
      </c>
      <c r="E6" s="29" t="s">
        <v>20</v>
      </c>
      <c r="F6" s="29" t="s">
        <v>21</v>
      </c>
      <c r="G6" s="29" t="s">
        <v>22</v>
      </c>
      <c r="H6" s="33">
        <f t="shared" si="0"/>
        <v>893.77344000000016</v>
      </c>
      <c r="I6" s="31">
        <f>(H4+H5+H6)/H12</f>
        <v>0.3156827736381837</v>
      </c>
      <c r="J6" s="29" t="s">
        <v>66</v>
      </c>
      <c r="K6" s="33">
        <v>262.72000000000003</v>
      </c>
      <c r="L6" s="36">
        <v>4</v>
      </c>
      <c r="M6" s="33">
        <f>K6*0.8505</f>
        <v>223.44336000000004</v>
      </c>
      <c r="N6" s="33">
        <v>437.31</v>
      </c>
      <c r="O6" s="33">
        <f>N6*B17</f>
        <v>384.876531</v>
      </c>
      <c r="P6" s="33">
        <f t="shared" si="1"/>
        <v>1539.506124</v>
      </c>
      <c r="Q6" s="31">
        <f>(P4+P5+P6)/P12</f>
        <v>0.32015177054177507</v>
      </c>
      <c r="R6" s="33"/>
      <c r="S6" s="31">
        <f t="shared" si="2"/>
        <v>0.72247915981929345</v>
      </c>
      <c r="T6" s="31"/>
    </row>
    <row r="7" spans="1:20">
      <c r="A7" s="29" t="s">
        <v>17</v>
      </c>
      <c r="B7" s="29" t="s">
        <v>99</v>
      </c>
      <c r="C7" s="37" t="s">
        <v>100</v>
      </c>
      <c r="D7" s="29" t="s">
        <v>101</v>
      </c>
      <c r="E7" s="29" t="s">
        <v>20</v>
      </c>
      <c r="F7" s="29" t="s">
        <v>21</v>
      </c>
      <c r="G7" s="29" t="s">
        <v>22</v>
      </c>
      <c r="H7" s="33">
        <f t="shared" si="0"/>
        <v>821.75310000000002</v>
      </c>
      <c r="I7" s="31"/>
      <c r="J7" s="29" t="s">
        <v>75</v>
      </c>
      <c r="K7" s="33">
        <v>966.2</v>
      </c>
      <c r="L7" s="36">
        <v>1</v>
      </c>
      <c r="M7" s="33">
        <f>K7*0.8505</f>
        <v>821.75310000000002</v>
      </c>
      <c r="N7" s="33">
        <v>1671.73</v>
      </c>
      <c r="O7" s="33">
        <f>N7*B17</f>
        <v>1471.289573</v>
      </c>
      <c r="P7" s="33">
        <f t="shared" si="1"/>
        <v>1471.289573</v>
      </c>
      <c r="Q7" s="31"/>
      <c r="R7" s="33"/>
      <c r="S7" s="31">
        <f t="shared" si="2"/>
        <v>0.79042777325695512</v>
      </c>
      <c r="T7" s="31"/>
    </row>
    <row r="8" spans="1:20">
      <c r="A8" s="29" t="s">
        <v>17</v>
      </c>
      <c r="B8" s="29" t="s">
        <v>102</v>
      </c>
      <c r="C8" s="37" t="s">
        <v>103</v>
      </c>
      <c r="D8" s="29" t="s">
        <v>104</v>
      </c>
      <c r="E8" s="29" t="s">
        <v>20</v>
      </c>
      <c r="F8" s="29" t="s">
        <v>21</v>
      </c>
      <c r="G8" s="29" t="s">
        <v>22</v>
      </c>
      <c r="H8" s="33">
        <f t="shared" si="0"/>
        <v>1012.307625</v>
      </c>
      <c r="I8" s="31">
        <f>(H7+H8)/H12</f>
        <v>0.18852046551167895</v>
      </c>
      <c r="J8" s="29" t="s">
        <v>54</v>
      </c>
      <c r="K8" s="33">
        <v>47.61</v>
      </c>
      <c r="L8" s="36">
        <v>25</v>
      </c>
      <c r="M8" s="33">
        <f>K8*0.8505</f>
        <v>40.492305000000002</v>
      </c>
      <c r="N8" s="33">
        <v>65.58</v>
      </c>
      <c r="O8" s="33">
        <f>N8*B17</f>
        <v>57.716957999999998</v>
      </c>
      <c r="P8" s="33">
        <f t="shared" si="1"/>
        <v>1442.9239499999999</v>
      </c>
      <c r="Q8" s="31">
        <f>(P7+P8)/P12</f>
        <v>0.25656339151147234</v>
      </c>
      <c r="R8" s="33"/>
      <c r="S8" s="31">
        <f t="shared" si="2"/>
        <v>0.42538089644439836</v>
      </c>
      <c r="T8" s="31"/>
    </row>
    <row r="9" spans="1:20">
      <c r="A9" s="29" t="s">
        <v>38</v>
      </c>
      <c r="B9" s="38" t="s">
        <v>105</v>
      </c>
      <c r="C9" s="37" t="s">
        <v>106</v>
      </c>
      <c r="D9" s="29" t="s">
        <v>107</v>
      </c>
      <c r="E9" s="29" t="s">
        <v>29</v>
      </c>
      <c r="F9" s="29" t="s">
        <v>108</v>
      </c>
      <c r="G9" s="29" t="s">
        <v>22</v>
      </c>
      <c r="H9" s="33">
        <f t="shared" si="0"/>
        <v>921.2956200000001</v>
      </c>
      <c r="I9" s="31">
        <f>(H9)/H12</f>
        <v>9.4698652443075945E-2</v>
      </c>
      <c r="J9" s="29" t="s">
        <v>54</v>
      </c>
      <c r="K9" s="33">
        <v>270.81</v>
      </c>
      <c r="L9" s="36">
        <v>4</v>
      </c>
      <c r="M9" s="33">
        <f>K9*0.8505</f>
        <v>230.32390500000002</v>
      </c>
      <c r="N9" s="33">
        <v>217.38</v>
      </c>
      <c r="O9" s="33">
        <f>N9*B17</f>
        <v>191.316138</v>
      </c>
      <c r="P9" s="33">
        <f t="shared" si="1"/>
        <v>765.26455199999998</v>
      </c>
      <c r="Q9" s="31">
        <f>(P9)/P12</f>
        <v>6.7372849420624797E-2</v>
      </c>
      <c r="R9" s="33"/>
      <c r="S9" s="31">
        <f t="shared" si="2"/>
        <v>-0.16936047953858729</v>
      </c>
      <c r="T9" s="31"/>
    </row>
    <row r="10" spans="1:20">
      <c r="A10" s="29" t="s">
        <v>46</v>
      </c>
      <c r="B10" s="29" t="s">
        <v>109</v>
      </c>
      <c r="C10" s="37" t="s">
        <v>110</v>
      </c>
      <c r="D10" s="29" t="s">
        <v>111</v>
      </c>
      <c r="E10" s="29" t="s">
        <v>10</v>
      </c>
      <c r="F10" s="29" t="s">
        <v>112</v>
      </c>
      <c r="G10" s="29" t="s">
        <v>16</v>
      </c>
      <c r="H10" s="33">
        <f t="shared" si="0"/>
        <v>1057.5</v>
      </c>
      <c r="I10" s="31">
        <f>(H10)/H12</f>
        <v>0.10869890487328356</v>
      </c>
      <c r="J10" s="29" t="s">
        <v>54</v>
      </c>
      <c r="K10" s="33">
        <v>105.75</v>
      </c>
      <c r="L10" s="36">
        <v>10</v>
      </c>
      <c r="M10" s="33">
        <f>K10</f>
        <v>105.75</v>
      </c>
      <c r="N10" s="33">
        <v>96.16</v>
      </c>
      <c r="O10" s="33">
        <f>N10</f>
        <v>96.16</v>
      </c>
      <c r="P10" s="33">
        <f t="shared" si="1"/>
        <v>961.59999999999991</v>
      </c>
      <c r="Q10" s="31">
        <f>(P10)/P12</f>
        <v>8.4657954995506962E-2</v>
      </c>
      <c r="R10" s="33"/>
      <c r="S10" s="31">
        <f t="shared" si="2"/>
        <v>-9.0685579196217586E-2</v>
      </c>
      <c r="T10" s="31"/>
    </row>
    <row r="11" spans="1:20" ht="28">
      <c r="A11" s="29" t="s">
        <v>113</v>
      </c>
      <c r="B11" s="39" t="s">
        <v>114</v>
      </c>
      <c r="C11" s="37" t="s">
        <v>115</v>
      </c>
      <c r="D11" s="29" t="s">
        <v>116</v>
      </c>
      <c r="E11" s="29" t="s">
        <v>20</v>
      </c>
      <c r="F11" s="29" t="s">
        <v>21</v>
      </c>
      <c r="G11" s="29" t="s">
        <v>22</v>
      </c>
      <c r="H11" s="33">
        <f t="shared" si="0"/>
        <v>1000.400625</v>
      </c>
      <c r="I11" s="31">
        <f>(H11)/H12</f>
        <v>0.10282974219579047</v>
      </c>
      <c r="J11" s="29" t="s">
        <v>54</v>
      </c>
      <c r="K11" s="33">
        <v>47.05</v>
      </c>
      <c r="L11" s="36">
        <v>25</v>
      </c>
      <c r="M11" s="33">
        <f>K11*0.8505</f>
        <v>40.016024999999999</v>
      </c>
      <c r="N11" s="33">
        <v>54.5</v>
      </c>
      <c r="O11" s="33">
        <f>N11*B17</f>
        <v>47.965449999999997</v>
      </c>
      <c r="P11" s="33">
        <f t="shared" si="1"/>
        <v>1199.13625</v>
      </c>
      <c r="Q11" s="31">
        <f>(P11)/P12</f>
        <v>0.10557032309274229</v>
      </c>
      <c r="R11" s="33"/>
      <c r="S11" s="31">
        <f t="shared" si="2"/>
        <v>0.19865603842460616</v>
      </c>
      <c r="T11" s="31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9728.7088700000004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11358.649049</v>
      </c>
      <c r="Q12" s="12">
        <f>SUM(Q2:Q11)</f>
        <v>1</v>
      </c>
      <c r="R12" s="11"/>
      <c r="S12" s="12">
        <f t="shared" si="2"/>
        <v>0.16753920800592312</v>
      </c>
      <c r="T12" s="12">
        <v>0.1153</v>
      </c>
    </row>
    <row r="14" spans="1:20">
      <c r="A14" s="40" t="s">
        <v>72</v>
      </c>
      <c r="B14" s="40"/>
      <c r="C14" s="40"/>
      <c r="D14" s="40"/>
      <c r="E14" s="40"/>
      <c r="F14" s="40"/>
      <c r="G14" s="40"/>
      <c r="H14" s="41"/>
      <c r="I14" s="42"/>
      <c r="J14" s="40" t="s">
        <v>64</v>
      </c>
      <c r="K14" s="41">
        <v>2010.9459999999999</v>
      </c>
      <c r="L14" s="43"/>
      <c r="M14" s="41"/>
      <c r="N14" s="41">
        <f>'170830_langfr_Geldanlage'!N14</f>
        <v>2085.84</v>
      </c>
      <c r="O14" s="41"/>
      <c r="P14" s="41"/>
      <c r="Q14" s="42"/>
      <c r="R14" s="41" t="s">
        <v>64</v>
      </c>
      <c r="S14" s="42">
        <f>(N14-K14)/K14</f>
        <v>3.7243168140765705E-2</v>
      </c>
      <c r="T14" s="42">
        <v>2.6100000000000002E-2</v>
      </c>
    </row>
    <row r="16" spans="1:20">
      <c r="A16" s="35" t="s">
        <v>117</v>
      </c>
    </row>
    <row r="17" spans="1:3">
      <c r="A17" s="35" t="s">
        <v>22</v>
      </c>
      <c r="B17" s="35">
        <f>'170830_langfr_Geldanlage'!B18</f>
        <v>0.88009999999999999</v>
      </c>
    </row>
    <row r="18" spans="1:3">
      <c r="A18" s="35" t="s">
        <v>90</v>
      </c>
      <c r="B18" s="35">
        <v>0.87980000000000003</v>
      </c>
    </row>
    <row r="19" spans="1:3">
      <c r="A19" s="35" t="s">
        <v>83</v>
      </c>
      <c r="B19" s="35">
        <v>0.1338</v>
      </c>
    </row>
    <row r="22" spans="1:3">
      <c r="A22" s="48" t="s">
        <v>125</v>
      </c>
      <c r="B22" s="49">
        <f>'170830_langfr_Geldanlage'!B25</f>
        <v>43527</v>
      </c>
      <c r="C22" s="56" t="str">
        <f>'170830_langfr_Geldanlage'!C25</f>
        <v>ist ein Sonntag</v>
      </c>
    </row>
    <row r="23" spans="1:3">
      <c r="A23" s="48" t="s">
        <v>126</v>
      </c>
      <c r="B23" s="44">
        <v>1.42</v>
      </c>
    </row>
  </sheetData>
  <phoneticPr fontId="20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3" sqref="T13"/>
    </sheetView>
  </sheetViews>
  <sheetFormatPr baseColWidth="10" defaultRowHeight="15" x14ac:dyDescent="0"/>
  <cols>
    <col min="1" max="1" width="19" style="1" bestFit="1" customWidth="1"/>
    <col min="2" max="2" width="36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47" t="s">
        <v>132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122</v>
      </c>
      <c r="O1" s="47" t="s">
        <v>123</v>
      </c>
      <c r="P1" s="47" t="s">
        <v>124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>
      <c r="A2" s="51" t="s">
        <v>128</v>
      </c>
      <c r="B2" s="51" t="s">
        <v>129</v>
      </c>
      <c r="C2" s="51" t="s">
        <v>130</v>
      </c>
      <c r="D2" s="51" t="s">
        <v>131</v>
      </c>
      <c r="E2" s="51" t="s">
        <v>20</v>
      </c>
      <c r="F2" s="51" t="s">
        <v>41</v>
      </c>
      <c r="G2" s="51" t="s">
        <v>42</v>
      </c>
      <c r="H2" s="6">
        <f t="shared" ref="H2:H11" si="0">M2*L2</f>
        <v>1025.74432</v>
      </c>
      <c r="I2" s="7"/>
      <c r="J2" s="51" t="s">
        <v>53</v>
      </c>
      <c r="K2" s="6">
        <v>40.729999999999997</v>
      </c>
      <c r="L2" s="18">
        <v>40</v>
      </c>
      <c r="M2" s="6">
        <f>K2*0.6296</f>
        <v>25.643608</v>
      </c>
      <c r="N2" s="6">
        <v>49.5</v>
      </c>
      <c r="O2" s="6">
        <f>N2*B21</f>
        <v>32.768999999999998</v>
      </c>
      <c r="P2" s="6">
        <f t="shared" ref="P2:P11" si="1">L2*O2</f>
        <v>1310.76</v>
      </c>
      <c r="Q2" s="7"/>
      <c r="R2" s="33"/>
      <c r="S2" s="7">
        <f>(P2-H2)/H2</f>
        <v>0.2778623039316464</v>
      </c>
      <c r="T2" s="7"/>
    </row>
    <row r="3" spans="1:20">
      <c r="A3" s="51" t="s">
        <v>133</v>
      </c>
      <c r="B3" s="51" t="s">
        <v>134</v>
      </c>
      <c r="C3" s="51" t="s">
        <v>135</v>
      </c>
      <c r="D3" s="51" t="s">
        <v>136</v>
      </c>
      <c r="E3" s="51" t="s">
        <v>29</v>
      </c>
      <c r="F3" s="51" t="s">
        <v>137</v>
      </c>
      <c r="G3" s="51" t="s">
        <v>16</v>
      </c>
      <c r="H3" s="6">
        <f t="shared" si="0"/>
        <v>946.80000000000007</v>
      </c>
      <c r="I3" s="7"/>
      <c r="J3" s="51" t="s">
        <v>138</v>
      </c>
      <c r="K3" s="6">
        <v>78.900000000000006</v>
      </c>
      <c r="L3" s="18">
        <v>12</v>
      </c>
      <c r="M3" s="6">
        <f>K3</f>
        <v>78.900000000000006</v>
      </c>
      <c r="N3" s="6">
        <v>88.05</v>
      </c>
      <c r="O3" s="6">
        <f>N3</f>
        <v>88.05</v>
      </c>
      <c r="P3" s="6">
        <f t="shared" si="1"/>
        <v>1056.5999999999999</v>
      </c>
      <c r="Q3" s="7"/>
      <c r="R3" s="26"/>
      <c r="S3" s="7">
        <f t="shared" ref="S3:S12" si="2">(P3-H3)/H3</f>
        <v>0.11596958174904926</v>
      </c>
      <c r="T3" s="7"/>
    </row>
    <row r="4" spans="1:20">
      <c r="A4" s="51" t="s">
        <v>4</v>
      </c>
      <c r="B4" s="51" t="s">
        <v>5</v>
      </c>
      <c r="C4" s="51" t="s">
        <v>6</v>
      </c>
      <c r="D4" s="51" t="s">
        <v>58</v>
      </c>
      <c r="E4" s="51" t="s">
        <v>7</v>
      </c>
      <c r="F4" s="51" t="s">
        <v>7</v>
      </c>
      <c r="G4" s="51" t="s">
        <v>16</v>
      </c>
      <c r="H4" s="6">
        <f t="shared" si="0"/>
        <v>988.00000000000011</v>
      </c>
      <c r="I4" s="7"/>
      <c r="J4" s="51" t="s">
        <v>53</v>
      </c>
      <c r="K4" s="6">
        <v>39.520000000000003</v>
      </c>
      <c r="L4" s="18">
        <v>25</v>
      </c>
      <c r="M4" s="6">
        <f>K4</f>
        <v>39.520000000000003</v>
      </c>
      <c r="N4" s="6">
        <v>39.770000000000003</v>
      </c>
      <c r="O4" s="6">
        <f>N4</f>
        <v>39.770000000000003</v>
      </c>
      <c r="P4" s="6">
        <f t="shared" si="1"/>
        <v>994.25000000000011</v>
      </c>
      <c r="Q4" s="7"/>
      <c r="R4" s="28"/>
      <c r="S4" s="7">
        <f t="shared" si="2"/>
        <v>6.3259109311740881E-3</v>
      </c>
      <c r="T4" s="7"/>
    </row>
    <row r="5" spans="1:20">
      <c r="A5" s="51" t="s">
        <v>17</v>
      </c>
      <c r="B5" s="51" t="s">
        <v>139</v>
      </c>
      <c r="C5" s="51" t="s">
        <v>140</v>
      </c>
      <c r="D5" s="51" t="s">
        <v>141</v>
      </c>
      <c r="E5" s="51" t="s">
        <v>10</v>
      </c>
      <c r="F5" s="51" t="s">
        <v>15</v>
      </c>
      <c r="G5" s="51" t="s">
        <v>16</v>
      </c>
      <c r="H5" s="6">
        <f t="shared" si="0"/>
        <v>1068</v>
      </c>
      <c r="I5" s="7"/>
      <c r="J5" s="51" t="s">
        <v>60</v>
      </c>
      <c r="K5" s="6">
        <v>106.8</v>
      </c>
      <c r="L5" s="18">
        <v>10</v>
      </c>
      <c r="M5" s="6">
        <f>K5</f>
        <v>106.8</v>
      </c>
      <c r="N5" s="6">
        <v>88.68</v>
      </c>
      <c r="O5" s="6">
        <f>N5</f>
        <v>88.68</v>
      </c>
      <c r="P5" s="6">
        <f t="shared" si="1"/>
        <v>886.80000000000007</v>
      </c>
      <c r="Q5" s="7"/>
      <c r="R5" s="33"/>
      <c r="S5" s="7">
        <f t="shared" si="2"/>
        <v>-0.16966292134831454</v>
      </c>
      <c r="T5" s="7"/>
    </row>
    <row r="6" spans="1:20">
      <c r="A6" s="51" t="s">
        <v>25</v>
      </c>
      <c r="B6" s="51" t="s">
        <v>146</v>
      </c>
      <c r="C6" s="51" t="s">
        <v>144</v>
      </c>
      <c r="D6" s="51" t="s">
        <v>145</v>
      </c>
      <c r="E6" s="51" t="s">
        <v>20</v>
      </c>
      <c r="F6" s="51" t="s">
        <v>21</v>
      </c>
      <c r="G6" s="51" t="s">
        <v>22</v>
      </c>
      <c r="H6" s="6">
        <f t="shared" si="0"/>
        <v>1052.9375520000001</v>
      </c>
      <c r="I6" s="7"/>
      <c r="J6" s="51" t="s">
        <v>75</v>
      </c>
      <c r="K6" s="6">
        <v>216.28</v>
      </c>
      <c r="L6" s="18">
        <v>6</v>
      </c>
      <c r="M6" s="6">
        <f>K6*0.8114</f>
        <v>175.48959200000002</v>
      </c>
      <c r="N6" s="6">
        <v>171.94</v>
      </c>
      <c r="O6" s="6">
        <f>N6*B18</f>
        <v>151.32439399999998</v>
      </c>
      <c r="P6" s="6">
        <f t="shared" si="1"/>
        <v>907.9463639999999</v>
      </c>
      <c r="Q6" s="7"/>
      <c r="R6" s="22"/>
      <c r="S6" s="7">
        <f t="shared" si="2"/>
        <v>-0.13770160226938147</v>
      </c>
      <c r="T6" s="7"/>
    </row>
    <row r="7" spans="1:20">
      <c r="A7" s="51" t="s">
        <v>26</v>
      </c>
      <c r="B7" s="51" t="s">
        <v>147</v>
      </c>
      <c r="C7" s="51" t="s">
        <v>142</v>
      </c>
      <c r="D7" s="51" t="s">
        <v>148</v>
      </c>
      <c r="E7" s="51" t="s">
        <v>10</v>
      </c>
      <c r="F7" s="51" t="s">
        <v>15</v>
      </c>
      <c r="G7" s="51" t="s">
        <v>16</v>
      </c>
      <c r="H7" s="6">
        <f t="shared" si="0"/>
        <v>1015</v>
      </c>
      <c r="I7" s="7"/>
      <c r="J7" s="51" t="s">
        <v>149</v>
      </c>
      <c r="K7" s="6">
        <v>507.5</v>
      </c>
      <c r="L7" s="18">
        <v>2</v>
      </c>
      <c r="M7" s="6">
        <f>K7</f>
        <v>507.5</v>
      </c>
      <c r="N7" s="6">
        <v>579</v>
      </c>
      <c r="O7" s="6">
        <f>N7</f>
        <v>579</v>
      </c>
      <c r="P7" s="6">
        <f t="shared" si="1"/>
        <v>1158</v>
      </c>
      <c r="Q7" s="7"/>
      <c r="R7" s="28"/>
      <c r="S7" s="7">
        <f t="shared" si="2"/>
        <v>0.14088669950738916</v>
      </c>
      <c r="T7" s="7"/>
    </row>
    <row r="8" spans="1:20">
      <c r="A8" s="51" t="s">
        <v>26</v>
      </c>
      <c r="B8" s="51" t="s">
        <v>32</v>
      </c>
      <c r="C8" s="51" t="s">
        <v>33</v>
      </c>
      <c r="D8" s="51" t="s">
        <v>57</v>
      </c>
      <c r="E8" s="51" t="s">
        <v>10</v>
      </c>
      <c r="F8" s="51" t="s">
        <v>150</v>
      </c>
      <c r="G8" s="51" t="s">
        <v>118</v>
      </c>
      <c r="H8" s="6">
        <f t="shared" si="0"/>
        <v>1025.28855</v>
      </c>
      <c r="I8" s="7"/>
      <c r="J8" s="51" t="s">
        <v>53</v>
      </c>
      <c r="K8" s="6">
        <v>19.5</v>
      </c>
      <c r="L8" s="18">
        <v>47</v>
      </c>
      <c r="M8" s="6">
        <f>K8*1.1187</f>
        <v>21.81465</v>
      </c>
      <c r="N8" s="6">
        <v>23.94</v>
      </c>
      <c r="O8" s="6">
        <f>N8*B19</f>
        <v>27.80631</v>
      </c>
      <c r="P8" s="6">
        <f t="shared" si="1"/>
        <v>1306.8965699999999</v>
      </c>
      <c r="Q8" s="7"/>
      <c r="R8" s="33"/>
      <c r="S8" s="7">
        <f t="shared" si="2"/>
        <v>0.27466221094539667</v>
      </c>
      <c r="T8" s="7"/>
    </row>
    <row r="9" spans="1:20">
      <c r="A9" s="51" t="s">
        <v>46</v>
      </c>
      <c r="B9" s="51" t="s">
        <v>155</v>
      </c>
      <c r="C9" s="51" t="s">
        <v>156</v>
      </c>
      <c r="D9" s="51" t="s">
        <v>157</v>
      </c>
      <c r="E9" s="51" t="s">
        <v>10</v>
      </c>
      <c r="F9" s="51" t="s">
        <v>112</v>
      </c>
      <c r="G9" s="51" t="s">
        <v>16</v>
      </c>
      <c r="H9" s="6">
        <f t="shared" si="0"/>
        <v>907.6</v>
      </c>
      <c r="I9" s="7"/>
      <c r="J9" s="51" t="s">
        <v>60</v>
      </c>
      <c r="K9" s="6">
        <v>453.8</v>
      </c>
      <c r="L9" s="18">
        <v>2</v>
      </c>
      <c r="M9" s="6">
        <f>K9</f>
        <v>453.8</v>
      </c>
      <c r="N9" s="6">
        <v>382</v>
      </c>
      <c r="O9" s="6">
        <f>N9</f>
        <v>382</v>
      </c>
      <c r="P9" s="6">
        <f t="shared" si="1"/>
        <v>764</v>
      </c>
      <c r="Q9" s="7"/>
      <c r="R9" s="33"/>
      <c r="S9" s="7">
        <f t="shared" si="2"/>
        <v>-0.1582194799471133</v>
      </c>
      <c r="T9" s="7"/>
    </row>
    <row r="10" spans="1:20">
      <c r="A10" s="51" t="s">
        <v>38</v>
      </c>
      <c r="B10" s="51" t="s">
        <v>158</v>
      </c>
      <c r="C10" s="51" t="s">
        <v>143</v>
      </c>
      <c r="D10" s="51" t="s">
        <v>159</v>
      </c>
      <c r="E10" s="51" t="s">
        <v>20</v>
      </c>
      <c r="F10" s="51" t="s">
        <v>21</v>
      </c>
      <c r="G10" s="51" t="s">
        <v>22</v>
      </c>
      <c r="H10" s="6">
        <f t="shared" si="0"/>
        <v>990.784312</v>
      </c>
      <c r="I10" s="7"/>
      <c r="J10" s="51" t="s">
        <v>160</v>
      </c>
      <c r="K10" s="6">
        <v>43.61</v>
      </c>
      <c r="L10" s="18">
        <v>28</v>
      </c>
      <c r="M10" s="6">
        <f>K10*0.8114</f>
        <v>35.385154</v>
      </c>
      <c r="N10" s="6">
        <v>51.41</v>
      </c>
      <c r="O10" s="6">
        <f>N10*B18</f>
        <v>45.245940999999995</v>
      </c>
      <c r="P10" s="6">
        <f t="shared" si="1"/>
        <v>1266.8863479999998</v>
      </c>
      <c r="Q10" s="7"/>
      <c r="R10" s="28"/>
      <c r="S10" s="7">
        <f t="shared" si="2"/>
        <v>0.27867017337270855</v>
      </c>
      <c r="T10" s="7"/>
    </row>
    <row r="11" spans="1:20" ht="30">
      <c r="A11" s="51" t="s">
        <v>38</v>
      </c>
      <c r="B11" s="54" t="s">
        <v>105</v>
      </c>
      <c r="C11" s="51" t="s">
        <v>106</v>
      </c>
      <c r="D11" s="51" t="s">
        <v>107</v>
      </c>
      <c r="E11" s="51" t="s">
        <v>29</v>
      </c>
      <c r="F11" s="51" t="s">
        <v>108</v>
      </c>
      <c r="G11" s="51" t="s">
        <v>22</v>
      </c>
      <c r="H11" s="6">
        <f t="shared" si="0"/>
        <v>922.82144799999992</v>
      </c>
      <c r="I11" s="7"/>
      <c r="J11" s="51" t="s">
        <v>60</v>
      </c>
      <c r="K11" s="6">
        <v>284.33</v>
      </c>
      <c r="L11" s="18">
        <v>4</v>
      </c>
      <c r="M11" s="6">
        <f>K11*0.8114</f>
        <v>230.70536199999998</v>
      </c>
      <c r="N11" s="6">
        <v>217.38</v>
      </c>
      <c r="O11" s="6">
        <f>N11*B18</f>
        <v>191.316138</v>
      </c>
      <c r="P11" s="6">
        <f t="shared" si="1"/>
        <v>765.26455199999998</v>
      </c>
      <c r="Q11" s="7"/>
      <c r="R11" s="33"/>
      <c r="S11" s="7">
        <f t="shared" si="2"/>
        <v>-0.17073389044161005</v>
      </c>
      <c r="T11" s="7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9942.9761820000022</v>
      </c>
      <c r="I12" s="12">
        <f>SUM(I2:I11)</f>
        <v>0</v>
      </c>
      <c r="J12" s="10"/>
      <c r="K12" s="11"/>
      <c r="L12" s="19"/>
      <c r="M12" s="11"/>
      <c r="N12" s="11"/>
      <c r="O12" s="11"/>
      <c r="P12" s="11">
        <f>SUM(P2:P11)</f>
        <v>10417.403834000001</v>
      </c>
      <c r="Q12" s="12"/>
      <c r="R12" s="11"/>
      <c r="S12" s="12">
        <f t="shared" si="2"/>
        <v>4.77148535122578E-2</v>
      </c>
      <c r="T12" s="12">
        <v>4.7699999999999999E-2</v>
      </c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50" t="s">
        <v>127</v>
      </c>
      <c r="K14" s="15">
        <v>2089.9699999999998</v>
      </c>
      <c r="L14" s="20"/>
      <c r="M14" s="15"/>
      <c r="N14" s="15">
        <f>'170830_langfr_Geldanlage'!N14</f>
        <v>2085.84</v>
      </c>
      <c r="O14" s="15"/>
      <c r="P14" s="15"/>
      <c r="Q14" s="16"/>
      <c r="R14" s="24" t="s">
        <v>64</v>
      </c>
      <c r="S14" s="16">
        <f>(N14-K14)/K14</f>
        <v>-1.9761049201661531E-3</v>
      </c>
      <c r="T14" s="16"/>
    </row>
    <row r="17" spans="1:3">
      <c r="A17" s="35" t="s">
        <v>117</v>
      </c>
      <c r="B17" s="35"/>
    </row>
    <row r="18" spans="1:3">
      <c r="A18" s="35" t="s">
        <v>22</v>
      </c>
      <c r="B18" s="35">
        <f>'170830_langfr_Geldanlage'!B18</f>
        <v>0.88009999999999999</v>
      </c>
    </row>
    <row r="19" spans="1:3">
      <c r="A19" s="35" t="s">
        <v>120</v>
      </c>
      <c r="B19" s="1">
        <f>'170830_langfr_Geldanlage'!B19</f>
        <v>1.1615</v>
      </c>
    </row>
    <row r="20" spans="1:3">
      <c r="A20" s="48" t="s">
        <v>14</v>
      </c>
      <c r="B20" s="35">
        <v>0.62250000000000005</v>
      </c>
    </row>
    <row r="21" spans="1:3">
      <c r="A21" s="35" t="s">
        <v>42</v>
      </c>
      <c r="B21" s="1">
        <f>'170830_langfr_Geldanlage'!B21</f>
        <v>0.66200000000000003</v>
      </c>
    </row>
    <row r="24" spans="1:3">
      <c r="A24" s="48" t="s">
        <v>125</v>
      </c>
      <c r="B24" s="49">
        <f>'170830_langfr_Geldanlage'!B25</f>
        <v>43527</v>
      </c>
      <c r="C24" s="55" t="str">
        <f>'171004_langfr_Geldanlage'!C22</f>
        <v>ist ein Sonntag</v>
      </c>
    </row>
    <row r="25" spans="1:3">
      <c r="A25" s="48" t="s">
        <v>126</v>
      </c>
      <c r="B25" s="2">
        <v>1</v>
      </c>
    </row>
  </sheetData>
  <phoneticPr fontId="20" type="noConversion"/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2" sqref="T12"/>
    </sheetView>
  </sheetViews>
  <sheetFormatPr baseColWidth="10" defaultRowHeight="15" x14ac:dyDescent="0"/>
  <cols>
    <col min="1" max="1" width="19" style="1" bestFit="1" customWidth="1"/>
    <col min="2" max="2" width="41" style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60" t="s">
        <v>173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122</v>
      </c>
      <c r="O1" s="47" t="s">
        <v>123</v>
      </c>
      <c r="P1" s="47" t="s">
        <v>124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 ht="30">
      <c r="A2" s="58" t="s">
        <v>133</v>
      </c>
      <c r="B2" s="59" t="s">
        <v>178</v>
      </c>
      <c r="C2" s="58" t="s">
        <v>164</v>
      </c>
      <c r="D2" s="58" t="s">
        <v>166</v>
      </c>
      <c r="E2" s="58" t="s">
        <v>10</v>
      </c>
      <c r="F2" s="58" t="s">
        <v>15</v>
      </c>
      <c r="G2" s="58" t="s">
        <v>16</v>
      </c>
      <c r="H2" s="6">
        <f t="shared" ref="H2:H10" si="0">M2*L2</f>
        <v>1046.6500000000001</v>
      </c>
      <c r="I2" s="7">
        <f>H2/H11</f>
        <v>0.11321168800391755</v>
      </c>
      <c r="J2" s="58" t="s">
        <v>163</v>
      </c>
      <c r="K2" s="6">
        <v>95.15</v>
      </c>
      <c r="L2" s="18">
        <v>11</v>
      </c>
      <c r="M2" s="6">
        <f>K2</f>
        <v>95.15</v>
      </c>
      <c r="N2" s="6">
        <v>90.25</v>
      </c>
      <c r="O2" s="6">
        <f>N2</f>
        <v>90.25</v>
      </c>
      <c r="P2" s="6">
        <f t="shared" ref="P2:P10" si="1">L2*O2</f>
        <v>992.75</v>
      </c>
      <c r="Q2" s="7"/>
      <c r="R2" s="26"/>
      <c r="S2" s="7">
        <f t="shared" ref="S2:S11" si="2">(P2-H2)/H2</f>
        <v>-5.1497635312664297E-2</v>
      </c>
      <c r="T2" s="7"/>
    </row>
    <row r="3" spans="1:20" ht="30">
      <c r="A3" s="58" t="s">
        <v>4</v>
      </c>
      <c r="B3" s="59" t="s">
        <v>182</v>
      </c>
      <c r="C3" s="59" t="s">
        <v>183</v>
      </c>
      <c r="D3" s="58" t="s">
        <v>184</v>
      </c>
      <c r="E3" s="58" t="s">
        <v>20</v>
      </c>
      <c r="F3" s="58" t="s">
        <v>21</v>
      </c>
      <c r="G3" s="58" t="s">
        <v>22</v>
      </c>
      <c r="H3" s="6">
        <f t="shared" si="0"/>
        <v>1011.1920280000001</v>
      </c>
      <c r="I3" s="7"/>
      <c r="J3" s="58" t="s">
        <v>185</v>
      </c>
      <c r="K3" s="6">
        <v>41.09</v>
      </c>
      <c r="L3" s="18">
        <v>28</v>
      </c>
      <c r="M3" s="6">
        <f>K3*0.8789</f>
        <v>36.114001000000002</v>
      </c>
      <c r="N3" s="6">
        <v>37.74</v>
      </c>
      <c r="O3" s="6">
        <f>N3*B17</f>
        <v>33.214973999999998</v>
      </c>
      <c r="P3" s="6">
        <f t="shared" si="1"/>
        <v>930.019272</v>
      </c>
      <c r="Q3" s="7"/>
      <c r="R3" s="28"/>
      <c r="S3" s="7">
        <f t="shared" si="2"/>
        <v>-8.0274323523444602E-2</v>
      </c>
      <c r="T3" s="7"/>
    </row>
    <row r="4" spans="1:20">
      <c r="A4" s="58" t="s">
        <v>4</v>
      </c>
      <c r="B4" s="58" t="s">
        <v>186</v>
      </c>
      <c r="C4" s="58" t="s">
        <v>187</v>
      </c>
      <c r="D4" s="58" t="s">
        <v>188</v>
      </c>
      <c r="E4" s="58" t="s">
        <v>10</v>
      </c>
      <c r="F4" s="58" t="s">
        <v>89</v>
      </c>
      <c r="G4" s="58" t="s">
        <v>90</v>
      </c>
      <c r="H4" s="6">
        <f t="shared" si="0"/>
        <v>994.99572000000012</v>
      </c>
      <c r="I4" s="7">
        <f>(H3+H4)/H11</f>
        <v>0.21700081345612954</v>
      </c>
      <c r="J4" s="58" t="s">
        <v>198</v>
      </c>
      <c r="K4" s="6">
        <v>66.45</v>
      </c>
      <c r="L4" s="18">
        <v>17</v>
      </c>
      <c r="M4" s="6">
        <f>K4*0.8808</f>
        <v>58.529160000000005</v>
      </c>
      <c r="N4" s="6">
        <v>71</v>
      </c>
      <c r="O4" s="6">
        <f>N4*B19</f>
        <v>62.465800000000002</v>
      </c>
      <c r="P4" s="6">
        <f t="shared" si="1"/>
        <v>1061.9186</v>
      </c>
      <c r="Q4" s="7"/>
      <c r="R4" s="33"/>
      <c r="S4" s="7">
        <f t="shared" si="2"/>
        <v>6.7259465196493354E-2</v>
      </c>
      <c r="T4" s="7"/>
    </row>
    <row r="5" spans="1:20">
      <c r="A5" s="58" t="s">
        <v>121</v>
      </c>
      <c r="B5" s="58" t="s">
        <v>190</v>
      </c>
      <c r="C5" s="58" t="s">
        <v>189</v>
      </c>
      <c r="D5" s="58" t="s">
        <v>191</v>
      </c>
      <c r="E5" s="58" t="s">
        <v>20</v>
      </c>
      <c r="F5" s="58" t="s">
        <v>21</v>
      </c>
      <c r="G5" s="58" t="s">
        <v>22</v>
      </c>
      <c r="H5" s="6">
        <f t="shared" si="0"/>
        <v>1017.9771360000001</v>
      </c>
      <c r="I5" s="7">
        <f>H5/H11</f>
        <v>0.11011026600673916</v>
      </c>
      <c r="J5" s="58" t="s">
        <v>192</v>
      </c>
      <c r="K5" s="6">
        <v>60.96</v>
      </c>
      <c r="L5" s="18">
        <v>19</v>
      </c>
      <c r="M5" s="6">
        <f>K5*0.8789</f>
        <v>53.577744000000003</v>
      </c>
      <c r="N5" s="6">
        <v>62.19</v>
      </c>
      <c r="O5" s="6">
        <f>N5*B17</f>
        <v>54.733418999999998</v>
      </c>
      <c r="P5" s="6">
        <f t="shared" si="1"/>
        <v>1039.9349609999999</v>
      </c>
      <c r="Q5" s="7"/>
      <c r="R5" s="22"/>
      <c r="S5" s="7">
        <f t="shared" si="2"/>
        <v>2.157005714910265E-2</v>
      </c>
      <c r="T5" s="7"/>
    </row>
    <row r="6" spans="1:20">
      <c r="A6" s="58" t="s">
        <v>170</v>
      </c>
      <c r="B6" s="58" t="s">
        <v>176</v>
      </c>
      <c r="C6" s="58" t="s">
        <v>171</v>
      </c>
      <c r="D6" s="58" t="s">
        <v>172</v>
      </c>
      <c r="E6" s="58" t="s">
        <v>29</v>
      </c>
      <c r="F6" s="58" t="s">
        <v>108</v>
      </c>
      <c r="G6" s="58" t="s">
        <v>22</v>
      </c>
      <c r="H6" s="6">
        <f t="shared" si="0"/>
        <v>1058.1340770000002</v>
      </c>
      <c r="I6" s="7">
        <f>H6/H11</f>
        <v>0.11445387186895073</v>
      </c>
      <c r="J6" s="58" t="s">
        <v>174</v>
      </c>
      <c r="K6" s="6">
        <v>171.99</v>
      </c>
      <c r="L6" s="18">
        <v>7</v>
      </c>
      <c r="M6" s="6">
        <f>K6*0.8789</f>
        <v>151.16201100000001</v>
      </c>
      <c r="N6" s="6">
        <v>183.88</v>
      </c>
      <c r="O6" s="6">
        <f>N6*B17</f>
        <v>161.83278799999999</v>
      </c>
      <c r="P6" s="6">
        <f t="shared" si="1"/>
        <v>1132.829516</v>
      </c>
      <c r="Q6" s="7"/>
      <c r="R6" s="28"/>
      <c r="S6" s="7">
        <f t="shared" si="2"/>
        <v>7.0591658111772385E-2</v>
      </c>
      <c r="T6" s="7"/>
    </row>
    <row r="7" spans="1:20" ht="30">
      <c r="A7" s="58" t="s">
        <v>26</v>
      </c>
      <c r="B7" s="59" t="s">
        <v>177</v>
      </c>
      <c r="C7" s="58" t="s">
        <v>167</v>
      </c>
      <c r="D7" s="58" t="s">
        <v>168</v>
      </c>
      <c r="E7" s="58" t="s">
        <v>20</v>
      </c>
      <c r="F7" s="58" t="s">
        <v>21</v>
      </c>
      <c r="G7" s="58" t="s">
        <v>22</v>
      </c>
      <c r="H7" s="6">
        <f t="shared" si="0"/>
        <v>1071.2912100000001</v>
      </c>
      <c r="I7" s="7"/>
      <c r="J7" s="58" t="s">
        <v>169</v>
      </c>
      <c r="K7" s="6">
        <v>203.15</v>
      </c>
      <c r="L7" s="18">
        <v>6</v>
      </c>
      <c r="M7" s="6">
        <f>K7*0.8789</f>
        <v>178.54853500000002</v>
      </c>
      <c r="N7" s="6">
        <v>207.49</v>
      </c>
      <c r="O7" s="6">
        <f>N7*B17</f>
        <v>182.61194900000001</v>
      </c>
      <c r="P7" s="6">
        <f t="shared" si="1"/>
        <v>1095.6716940000001</v>
      </c>
      <c r="Q7" s="7"/>
      <c r="R7" s="33"/>
      <c r="S7" s="7">
        <f t="shared" si="2"/>
        <v>2.27580360712565E-2</v>
      </c>
      <c r="T7" s="7"/>
    </row>
    <row r="8" spans="1:20" ht="30">
      <c r="A8" s="58" t="s">
        <v>26</v>
      </c>
      <c r="B8" s="59" t="s">
        <v>193</v>
      </c>
      <c r="C8" s="58" t="s">
        <v>194</v>
      </c>
      <c r="D8" s="58" t="s">
        <v>195</v>
      </c>
      <c r="E8" s="58" t="s">
        <v>10</v>
      </c>
      <c r="F8" s="58" t="s">
        <v>49</v>
      </c>
      <c r="G8" s="58" t="s">
        <v>50</v>
      </c>
      <c r="H8" s="6">
        <f t="shared" si="0"/>
        <v>1007.8210499999999</v>
      </c>
      <c r="I8" s="7">
        <f>(H7+H8)/H11</f>
        <v>0.22488874839176409</v>
      </c>
      <c r="J8" s="58" t="s">
        <v>196</v>
      </c>
      <c r="K8" s="6">
        <v>181.95</v>
      </c>
      <c r="L8" s="18">
        <v>58</v>
      </c>
      <c r="M8" s="6">
        <f>K8*0.0955</f>
        <v>17.376224999999998</v>
      </c>
      <c r="N8" s="6">
        <v>192.125</v>
      </c>
      <c r="O8" s="6">
        <f>N8*B20</f>
        <v>18.2326625</v>
      </c>
      <c r="P8" s="6">
        <f t="shared" si="1"/>
        <v>1057.4944250000001</v>
      </c>
      <c r="Q8" s="7"/>
      <c r="R8" s="33"/>
      <c r="S8" s="7">
        <f t="shared" si="2"/>
        <v>4.9287891932799179E-2</v>
      </c>
      <c r="T8" s="7"/>
    </row>
    <row r="9" spans="1:20" ht="30">
      <c r="A9" s="58" t="s">
        <v>38</v>
      </c>
      <c r="B9" s="59" t="s">
        <v>175</v>
      </c>
      <c r="C9" s="58" t="s">
        <v>179</v>
      </c>
      <c r="D9" s="58" t="s">
        <v>180</v>
      </c>
      <c r="E9" s="58" t="s">
        <v>29</v>
      </c>
      <c r="F9" s="58" t="s">
        <v>108</v>
      </c>
      <c r="G9" s="58" t="s">
        <v>22</v>
      </c>
      <c r="H9" s="6">
        <f t="shared" si="0"/>
        <v>1010.9107800000002</v>
      </c>
      <c r="I9" s="7"/>
      <c r="J9" s="58" t="s">
        <v>181</v>
      </c>
      <c r="K9" s="6">
        <v>42.6</v>
      </c>
      <c r="L9" s="18">
        <v>27</v>
      </c>
      <c r="M9" s="6">
        <f>K9*0.8789</f>
        <v>37.441140000000004</v>
      </c>
      <c r="N9" s="6">
        <v>42.6</v>
      </c>
      <c r="O9" s="6">
        <f>N9*B17</f>
        <v>37.492260000000002</v>
      </c>
      <c r="P9" s="6">
        <f t="shared" si="1"/>
        <v>1012.29102</v>
      </c>
      <c r="Q9" s="7"/>
      <c r="R9" s="28"/>
      <c r="S9" s="7">
        <f t="shared" si="2"/>
        <v>1.3653430424392587E-3</v>
      </c>
      <c r="T9" s="7"/>
    </row>
    <row r="10" spans="1:20" ht="30">
      <c r="A10" s="58" t="s">
        <v>38</v>
      </c>
      <c r="B10" s="59" t="s">
        <v>162</v>
      </c>
      <c r="C10" s="58" t="s">
        <v>161</v>
      </c>
      <c r="D10" s="58" t="s">
        <v>165</v>
      </c>
      <c r="E10" s="58" t="s">
        <v>20</v>
      </c>
      <c r="F10" s="58" t="s">
        <v>21</v>
      </c>
      <c r="G10" s="58" t="s">
        <v>22</v>
      </c>
      <c r="H10" s="6">
        <f t="shared" si="0"/>
        <v>1026.098172</v>
      </c>
      <c r="I10" s="7">
        <f>(H9+H10)/H11</f>
        <v>0.22033461227249898</v>
      </c>
      <c r="J10" s="58" t="s">
        <v>163</v>
      </c>
      <c r="K10" s="6">
        <v>64.86</v>
      </c>
      <c r="L10" s="18">
        <v>18</v>
      </c>
      <c r="M10" s="6">
        <f>K10*0.8789</f>
        <v>57.005454</v>
      </c>
      <c r="N10" s="6">
        <v>55.95</v>
      </c>
      <c r="O10" s="6">
        <f>N10*B17</f>
        <v>49.241595000000004</v>
      </c>
      <c r="P10" s="6">
        <f t="shared" si="1"/>
        <v>886.3487100000001</v>
      </c>
      <c r="Q10" s="7"/>
      <c r="R10" s="33"/>
      <c r="S10" s="7">
        <f t="shared" si="2"/>
        <v>-0.13619502091852462</v>
      </c>
      <c r="T10" s="7"/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9245.0701730000001</v>
      </c>
      <c r="I11" s="12">
        <f>SUM(I2:I10)</f>
        <v>1</v>
      </c>
      <c r="J11" s="10"/>
      <c r="K11" s="11"/>
      <c r="L11" s="19"/>
      <c r="M11" s="11"/>
      <c r="N11" s="11"/>
      <c r="O11" s="11"/>
      <c r="P11" s="11">
        <f>SUM(P2:P10)</f>
        <v>9209.2581979999995</v>
      </c>
      <c r="Q11" s="12"/>
      <c r="R11" s="11"/>
      <c r="S11" s="12">
        <f t="shared" si="2"/>
        <v>-3.8736293321589405E-3</v>
      </c>
      <c r="T11" s="12">
        <v>-6.7000000000000002E-3</v>
      </c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57" t="s">
        <v>197</v>
      </c>
      <c r="K13" s="15">
        <v>2131.0500000000002</v>
      </c>
      <c r="L13" s="20"/>
      <c r="M13" s="15"/>
      <c r="N13" s="15">
        <f>'170830_langfr_Geldanlage'!N14</f>
        <v>2085.84</v>
      </c>
      <c r="O13" s="15"/>
      <c r="P13" s="15"/>
      <c r="Q13" s="16"/>
      <c r="R13" s="24" t="s">
        <v>64</v>
      </c>
      <c r="S13" s="16">
        <f>(N13-K13)/K13</f>
        <v>-2.1214894066305359E-2</v>
      </c>
      <c r="T13" s="16">
        <v>-3.61E-2</v>
      </c>
    </row>
    <row r="16" spans="1:20">
      <c r="A16" s="35" t="s">
        <v>117</v>
      </c>
      <c r="B16" s="35"/>
    </row>
    <row r="17" spans="1:3">
      <c r="A17" s="35" t="s">
        <v>22</v>
      </c>
      <c r="B17" s="35">
        <f>'170830_langfr_Geldanlage'!B18</f>
        <v>0.88009999999999999</v>
      </c>
    </row>
    <row r="18" spans="1:3">
      <c r="A18" s="35" t="s">
        <v>120</v>
      </c>
      <c r="B18" s="1">
        <f>'170830_langfr_Geldanlage'!B19</f>
        <v>1.1615</v>
      </c>
    </row>
    <row r="19" spans="1:3">
      <c r="A19" s="61" t="s">
        <v>90</v>
      </c>
      <c r="B19" s="35">
        <f>'171004_langfr_Geldanlage'!B18</f>
        <v>0.87980000000000003</v>
      </c>
    </row>
    <row r="20" spans="1:3">
      <c r="A20" s="61" t="s">
        <v>50</v>
      </c>
      <c r="B20" s="1">
        <f>'170830_langfr_Geldanlage'!B22</f>
        <v>9.4899999999999998E-2</v>
      </c>
    </row>
    <row r="23" spans="1:3">
      <c r="A23" s="48" t="s">
        <v>125</v>
      </c>
      <c r="B23" s="49">
        <f>'170830_langfr_Geldanlage'!B25</f>
        <v>43527</v>
      </c>
      <c r="C23" s="55" t="str">
        <f>'171004_langfr_Geldanlage'!C22</f>
        <v>ist ein Sonntag</v>
      </c>
    </row>
    <row r="24" spans="1:3">
      <c r="A24" s="48" t="s">
        <v>126</v>
      </c>
      <c r="B24" s="2">
        <v>0.57999999999999996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2" sqref="T12"/>
    </sheetView>
  </sheetViews>
  <sheetFormatPr baseColWidth="10" defaultRowHeight="15" x14ac:dyDescent="0"/>
  <cols>
    <col min="1" max="1" width="19" style="1" bestFit="1" customWidth="1"/>
    <col min="2" max="2" width="41.83203125" style="1" customWidth="1"/>
    <col min="3" max="3" width="25.33203125" style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68" t="s">
        <v>231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122</v>
      </c>
      <c r="O1" s="47" t="s">
        <v>123</v>
      </c>
      <c r="P1" s="47" t="s">
        <v>124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 ht="30" customHeight="1">
      <c r="A2" s="66" t="s">
        <v>4</v>
      </c>
      <c r="B2" s="65" t="s">
        <v>221</v>
      </c>
      <c r="C2" s="66" t="s">
        <v>222</v>
      </c>
      <c r="D2" s="66" t="s">
        <v>223</v>
      </c>
      <c r="E2" s="66" t="s">
        <v>10</v>
      </c>
      <c r="F2" s="66" t="s">
        <v>112</v>
      </c>
      <c r="G2" s="58" t="s">
        <v>16</v>
      </c>
      <c r="H2" s="6">
        <f t="shared" ref="H2:H10" si="0">M2*L2</f>
        <v>1033.3399999999999</v>
      </c>
      <c r="I2" s="7"/>
      <c r="J2" s="66" t="s">
        <v>224</v>
      </c>
      <c r="K2" s="6">
        <v>93.94</v>
      </c>
      <c r="L2" s="18">
        <v>11</v>
      </c>
      <c r="M2" s="6">
        <f>K2</f>
        <v>93.94</v>
      </c>
      <c r="N2" s="6">
        <v>103.5</v>
      </c>
      <c r="O2" s="6">
        <f>N2</f>
        <v>103.5</v>
      </c>
      <c r="P2" s="6">
        <f t="shared" ref="P2:P10" si="1">L2*O2</f>
        <v>1138.5</v>
      </c>
      <c r="Q2" s="7"/>
      <c r="R2" s="26"/>
      <c r="S2" s="7">
        <f t="shared" ref="S2:S11" si="2">(P2-H2)/H2</f>
        <v>0.10176708537364283</v>
      </c>
      <c r="T2" s="7"/>
    </row>
    <row r="3" spans="1:20">
      <c r="A3" s="58" t="s">
        <v>4</v>
      </c>
      <c r="B3" s="65" t="s">
        <v>212</v>
      </c>
      <c r="C3" s="65" t="s">
        <v>213</v>
      </c>
      <c r="D3" s="66" t="s">
        <v>214</v>
      </c>
      <c r="E3" s="66" t="s">
        <v>10</v>
      </c>
      <c r="F3" s="66" t="s">
        <v>15</v>
      </c>
      <c r="G3" s="66" t="s">
        <v>16</v>
      </c>
      <c r="H3" s="6">
        <f t="shared" si="0"/>
        <v>1014.7500000000001</v>
      </c>
      <c r="I3" s="7">
        <f>(H2+H3)/H11</f>
        <v>0.22135271582297517</v>
      </c>
      <c r="J3" s="66" t="s">
        <v>215</v>
      </c>
      <c r="K3" s="6">
        <v>67.650000000000006</v>
      </c>
      <c r="L3" s="18">
        <v>15</v>
      </c>
      <c r="M3" s="6">
        <f>K3</f>
        <v>67.650000000000006</v>
      </c>
      <c r="N3" s="6">
        <v>67.06</v>
      </c>
      <c r="O3" s="6">
        <f>N3</f>
        <v>67.06</v>
      </c>
      <c r="P3" s="6">
        <f t="shared" si="1"/>
        <v>1005.9000000000001</v>
      </c>
      <c r="Q3" s="7"/>
      <c r="R3" s="28"/>
      <c r="S3" s="7">
        <f t="shared" si="2"/>
        <v>-8.7213599408721577E-3</v>
      </c>
      <c r="T3" s="7"/>
    </row>
    <row r="4" spans="1:20">
      <c r="A4" s="64" t="s">
        <v>121</v>
      </c>
      <c r="B4" s="64" t="s">
        <v>208</v>
      </c>
      <c r="C4" s="64" t="s">
        <v>207</v>
      </c>
      <c r="D4" s="74" t="s">
        <v>248</v>
      </c>
      <c r="E4" s="64" t="s">
        <v>10</v>
      </c>
      <c r="F4" s="64" t="s">
        <v>34</v>
      </c>
      <c r="G4" s="64" t="s">
        <v>118</v>
      </c>
      <c r="H4" s="6">
        <f t="shared" si="0"/>
        <v>1024.740288</v>
      </c>
      <c r="I4" s="7">
        <f>(H4)/H11</f>
        <v>0.11075150299157639</v>
      </c>
      <c r="J4" s="66" t="s">
        <v>229</v>
      </c>
      <c r="K4" s="6">
        <v>41.47</v>
      </c>
      <c r="L4" s="18">
        <v>22</v>
      </c>
      <c r="M4" s="6">
        <f>K4*1.1232</f>
        <v>46.579104000000001</v>
      </c>
      <c r="N4" s="6">
        <v>45.1</v>
      </c>
      <c r="O4" s="6">
        <f>N4*B18</f>
        <v>52.383650000000003</v>
      </c>
      <c r="P4" s="6">
        <f t="shared" si="1"/>
        <v>1152.4403</v>
      </c>
      <c r="Q4" s="7"/>
      <c r="R4" s="33"/>
      <c r="S4" s="7">
        <f t="shared" si="2"/>
        <v>0.1246169527005071</v>
      </c>
      <c r="T4" s="7"/>
    </row>
    <row r="5" spans="1:20">
      <c r="A5" s="58" t="s">
        <v>121</v>
      </c>
      <c r="B5" s="64" t="s">
        <v>203</v>
      </c>
      <c r="C5" s="64" t="s">
        <v>204</v>
      </c>
      <c r="D5" s="64" t="s">
        <v>205</v>
      </c>
      <c r="E5" s="58" t="s">
        <v>20</v>
      </c>
      <c r="F5" s="58" t="s">
        <v>21</v>
      </c>
      <c r="G5" s="58" t="s">
        <v>22</v>
      </c>
      <c r="H5" s="6">
        <f t="shared" si="0"/>
        <v>1045.1644920000001</v>
      </c>
      <c r="I5" s="7">
        <f>H5/H11</f>
        <v>0.11295890258042381</v>
      </c>
      <c r="J5" s="64" t="s">
        <v>206</v>
      </c>
      <c r="K5" s="6">
        <v>66.39</v>
      </c>
      <c r="L5" s="18">
        <v>18</v>
      </c>
      <c r="M5" s="6">
        <f>K5*0.8746</f>
        <v>58.064694000000003</v>
      </c>
      <c r="N5" s="6">
        <v>67.55</v>
      </c>
      <c r="O5" s="6">
        <f>N5*B17</f>
        <v>59.450754999999994</v>
      </c>
      <c r="P5" s="6">
        <f t="shared" si="1"/>
        <v>1070.1135899999999</v>
      </c>
      <c r="Q5" s="7"/>
      <c r="R5" s="22"/>
      <c r="S5" s="7">
        <f t="shared" si="2"/>
        <v>2.387097743079452E-2</v>
      </c>
      <c r="T5" s="7"/>
    </row>
    <row r="6" spans="1:20">
      <c r="A6" s="58" t="s">
        <v>170</v>
      </c>
      <c r="B6" s="66" t="s">
        <v>217</v>
      </c>
      <c r="C6" s="66" t="s">
        <v>218</v>
      </c>
      <c r="D6" s="66" t="s">
        <v>219</v>
      </c>
      <c r="E6" s="66" t="s">
        <v>10</v>
      </c>
      <c r="F6" s="66" t="s">
        <v>112</v>
      </c>
      <c r="G6" s="66" t="s">
        <v>16</v>
      </c>
      <c r="H6" s="6">
        <f t="shared" si="0"/>
        <v>1020.6</v>
      </c>
      <c r="I6" s="7">
        <f>H6/H11</f>
        <v>0.1103040304717705</v>
      </c>
      <c r="J6" s="66" t="s">
        <v>220</v>
      </c>
      <c r="K6" s="6">
        <v>255.15</v>
      </c>
      <c r="L6" s="18">
        <v>4</v>
      </c>
      <c r="M6" s="6">
        <f>K6</f>
        <v>255.15</v>
      </c>
      <c r="N6" s="6">
        <v>301.7</v>
      </c>
      <c r="O6" s="6">
        <f>N6</f>
        <v>301.7</v>
      </c>
      <c r="P6" s="6">
        <f t="shared" si="1"/>
        <v>1206.8</v>
      </c>
      <c r="Q6" s="7"/>
      <c r="R6" s="28"/>
      <c r="S6" s="7">
        <f t="shared" si="2"/>
        <v>0.18244170096021942</v>
      </c>
      <c r="T6" s="7"/>
    </row>
    <row r="7" spans="1:20" ht="30" customHeight="1">
      <c r="A7" s="58" t="s">
        <v>26</v>
      </c>
      <c r="B7" s="63" t="s">
        <v>202</v>
      </c>
      <c r="C7" s="64" t="s">
        <v>142</v>
      </c>
      <c r="D7" s="64" t="s">
        <v>148</v>
      </c>
      <c r="E7" s="64" t="s">
        <v>10</v>
      </c>
      <c r="F7" s="64" t="s">
        <v>15</v>
      </c>
      <c r="G7" s="64" t="s">
        <v>16</v>
      </c>
      <c r="H7" s="6">
        <f t="shared" si="0"/>
        <v>1027</v>
      </c>
      <c r="I7" s="7"/>
      <c r="J7" s="66" t="s">
        <v>230</v>
      </c>
      <c r="K7" s="6">
        <v>513.5</v>
      </c>
      <c r="L7" s="18">
        <v>2</v>
      </c>
      <c r="M7" s="6">
        <f>K7</f>
        <v>513.5</v>
      </c>
      <c r="N7" s="6">
        <v>579</v>
      </c>
      <c r="O7" s="6">
        <f>N7</f>
        <v>579</v>
      </c>
      <c r="P7" s="6">
        <f t="shared" si="1"/>
        <v>1158</v>
      </c>
      <c r="Q7" s="7"/>
      <c r="R7" s="33"/>
      <c r="S7" s="7">
        <f t="shared" si="2"/>
        <v>0.12755598831548198</v>
      </c>
      <c r="T7" s="7"/>
    </row>
    <row r="8" spans="1:20" ht="30">
      <c r="A8" s="58" t="s">
        <v>26</v>
      </c>
      <c r="B8" s="63" t="s">
        <v>199</v>
      </c>
      <c r="C8" s="64" t="s">
        <v>200</v>
      </c>
      <c r="D8" s="64" t="s">
        <v>201</v>
      </c>
      <c r="E8" s="58" t="s">
        <v>10</v>
      </c>
      <c r="F8" s="64" t="s">
        <v>89</v>
      </c>
      <c r="G8" s="64" t="s">
        <v>90</v>
      </c>
      <c r="H8" s="6">
        <f t="shared" si="0"/>
        <v>1049.1519000000001</v>
      </c>
      <c r="I8" s="7">
        <f>(H7+H8)/H11</f>
        <v>0.22438557950384497</v>
      </c>
      <c r="J8" s="66" t="s">
        <v>233</v>
      </c>
      <c r="K8" s="6">
        <v>198.5</v>
      </c>
      <c r="L8" s="18">
        <v>6</v>
      </c>
      <c r="M8" s="6">
        <f>K8*0.8809</f>
        <v>174.85865000000001</v>
      </c>
      <c r="N8" s="6">
        <v>225.6</v>
      </c>
      <c r="O8" s="6">
        <f>N8*B19</f>
        <v>198.48287999999999</v>
      </c>
      <c r="P8" s="6">
        <f t="shared" si="1"/>
        <v>1190.8972799999999</v>
      </c>
      <c r="Q8" s="7"/>
      <c r="R8" s="33"/>
      <c r="S8" s="7">
        <f t="shared" si="2"/>
        <v>0.1351047260172715</v>
      </c>
      <c r="T8" s="7"/>
    </row>
    <row r="9" spans="1:20">
      <c r="A9" s="64" t="s">
        <v>46</v>
      </c>
      <c r="B9" s="63" t="s">
        <v>209</v>
      </c>
      <c r="C9" s="64" t="s">
        <v>210</v>
      </c>
      <c r="D9" s="64" t="s">
        <v>211</v>
      </c>
      <c r="E9" s="64" t="s">
        <v>20</v>
      </c>
      <c r="F9" s="64" t="s">
        <v>21</v>
      </c>
      <c r="G9" s="58" t="s">
        <v>22</v>
      </c>
      <c r="H9" s="6">
        <f t="shared" si="0"/>
        <v>1085.3436160000001</v>
      </c>
      <c r="I9" s="7">
        <f>(H9)/H11</f>
        <v>0.11730136712875326</v>
      </c>
      <c r="J9" s="66" t="s">
        <v>234</v>
      </c>
      <c r="K9" s="6">
        <v>177.28</v>
      </c>
      <c r="L9" s="18">
        <v>7</v>
      </c>
      <c r="M9" s="6">
        <f>K9*0.8746</f>
        <v>155.04908800000001</v>
      </c>
      <c r="N9" s="6">
        <v>200.37</v>
      </c>
      <c r="O9" s="6">
        <f>N9*B17</f>
        <v>176.34563700000001</v>
      </c>
      <c r="P9" s="6">
        <f t="shared" si="1"/>
        <v>1234.4194590000002</v>
      </c>
      <c r="Q9" s="7"/>
      <c r="R9" s="28"/>
      <c r="S9" s="7">
        <f t="shared" si="2"/>
        <v>0.13735359088342403</v>
      </c>
      <c r="T9" s="7"/>
    </row>
    <row r="10" spans="1:20">
      <c r="A10" s="58" t="s">
        <v>38</v>
      </c>
      <c r="B10" s="65" t="s">
        <v>225</v>
      </c>
      <c r="C10" s="66" t="s">
        <v>216</v>
      </c>
      <c r="D10" s="66" t="s">
        <v>226</v>
      </c>
      <c r="E10" s="66" t="s">
        <v>20</v>
      </c>
      <c r="F10" s="66" t="s">
        <v>21</v>
      </c>
      <c r="G10" s="58" t="s">
        <v>22</v>
      </c>
      <c r="H10" s="6">
        <f t="shared" si="0"/>
        <v>952.5181140000002</v>
      </c>
      <c r="I10" s="7">
        <f>H10/H11</f>
        <v>0.10294590150065587</v>
      </c>
      <c r="J10" s="66" t="s">
        <v>227</v>
      </c>
      <c r="K10" s="6">
        <v>121.01</v>
      </c>
      <c r="L10" s="18">
        <v>9</v>
      </c>
      <c r="M10" s="6">
        <f>K10*0.8746</f>
        <v>105.83534600000002</v>
      </c>
      <c r="N10" s="6">
        <v>163.65</v>
      </c>
      <c r="O10" s="6">
        <f>N10*B17</f>
        <v>144.02836500000001</v>
      </c>
      <c r="P10" s="6">
        <f t="shared" si="1"/>
        <v>1296.2552850000002</v>
      </c>
      <c r="Q10" s="7"/>
      <c r="R10" s="33"/>
      <c r="S10" s="7">
        <f t="shared" si="2"/>
        <v>0.36087205686463186</v>
      </c>
      <c r="T10" s="7"/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9252.6084100000007</v>
      </c>
      <c r="I11" s="12">
        <f>SUM(I2:I10)</f>
        <v>0.99999999999999989</v>
      </c>
      <c r="J11" s="10"/>
      <c r="K11" s="11"/>
      <c r="L11" s="19"/>
      <c r="M11" s="11"/>
      <c r="N11" s="11"/>
      <c r="O11" s="11"/>
      <c r="P11" s="11">
        <f>SUM(P2:P10)</f>
        <v>10453.325914000001</v>
      </c>
      <c r="Q11" s="12"/>
      <c r="R11" s="11"/>
      <c r="S11" s="12">
        <f t="shared" si="2"/>
        <v>0.1297707036539332</v>
      </c>
      <c r="T11" s="12">
        <v>0.62870000000000004</v>
      </c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67" t="s">
        <v>228</v>
      </c>
      <c r="K13" s="15">
        <v>2009.6</v>
      </c>
      <c r="L13" s="20"/>
      <c r="M13" s="15"/>
      <c r="N13" s="15">
        <f>'170830_langfr_Geldanlage'!N14</f>
        <v>2085.84</v>
      </c>
      <c r="O13" s="15"/>
      <c r="P13" s="15"/>
      <c r="Q13" s="16"/>
      <c r="R13" s="24" t="s">
        <v>64</v>
      </c>
      <c r="S13" s="16">
        <f>(N13-K13)/K13</f>
        <v>3.7937898089172091E-2</v>
      </c>
      <c r="T13" s="16">
        <v>0.16</v>
      </c>
    </row>
    <row r="16" spans="1:20">
      <c r="A16" s="35" t="s">
        <v>117</v>
      </c>
      <c r="B16" s="35"/>
    </row>
    <row r="17" spans="1:3">
      <c r="A17" s="35" t="s">
        <v>22</v>
      </c>
      <c r="B17" s="35">
        <f>'170830_langfr_Geldanlage'!B18</f>
        <v>0.88009999999999999</v>
      </c>
    </row>
    <row r="18" spans="1:3">
      <c r="A18" s="35" t="s">
        <v>120</v>
      </c>
      <c r="B18" s="1">
        <f>'170830_langfr_Geldanlage'!B19</f>
        <v>1.1615</v>
      </c>
    </row>
    <row r="19" spans="1:3">
      <c r="A19" s="61" t="s">
        <v>90</v>
      </c>
      <c r="B19" s="35">
        <f>'171004_langfr_Geldanlage'!B18</f>
        <v>0.87980000000000003</v>
      </c>
    </row>
    <row r="20" spans="1:3">
      <c r="A20" s="61" t="s">
        <v>50</v>
      </c>
      <c r="B20" s="1">
        <f>'170830_langfr_Geldanlage'!B22</f>
        <v>9.4899999999999998E-2</v>
      </c>
    </row>
    <row r="23" spans="1:3">
      <c r="A23" s="48" t="s">
        <v>125</v>
      </c>
      <c r="B23" s="49">
        <f>'170830_langfr_Geldanlage'!B25</f>
        <v>43527</v>
      </c>
      <c r="C23" s="69" t="s">
        <v>232</v>
      </c>
    </row>
    <row r="24" spans="1:3">
      <c r="A24" s="48" t="s">
        <v>126</v>
      </c>
      <c r="B24" s="2">
        <v>0.25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6" sqref="N6"/>
    </sheetView>
  </sheetViews>
  <sheetFormatPr baseColWidth="10" defaultRowHeight="15" x14ac:dyDescent="0"/>
  <cols>
    <col min="1" max="1" width="19" style="35" bestFit="1" customWidth="1"/>
    <col min="2" max="2" width="43.1640625" style="35" bestFit="1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71" t="s">
        <v>238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7" t="s">
        <v>122</v>
      </c>
      <c r="O1" s="47" t="s">
        <v>123</v>
      </c>
      <c r="P1" s="47" t="s">
        <v>124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70" t="s">
        <v>235</v>
      </c>
      <c r="C2" s="70" t="s">
        <v>236</v>
      </c>
      <c r="D2" s="70" t="s">
        <v>237</v>
      </c>
      <c r="E2" s="70" t="s">
        <v>20</v>
      </c>
      <c r="F2" s="70" t="s">
        <v>21</v>
      </c>
      <c r="G2" s="70" t="s">
        <v>22</v>
      </c>
      <c r="H2" s="33">
        <f t="shared" ref="H2:H5" si="0">L2*M2</f>
        <v>780.05989599999987</v>
      </c>
      <c r="I2" s="31">
        <f>(H2)/H6</f>
        <v>0.200457239617016</v>
      </c>
      <c r="J2" s="73" t="s">
        <v>75</v>
      </c>
      <c r="K2" s="33">
        <v>63.08</v>
      </c>
      <c r="L2" s="36">
        <v>14</v>
      </c>
      <c r="M2" s="33">
        <f>K2*0.8833</f>
        <v>55.718563999999994</v>
      </c>
      <c r="N2" s="33">
        <v>59.3</v>
      </c>
      <c r="O2" s="33">
        <f>N2*B11</f>
        <v>52.189929999999997</v>
      </c>
      <c r="P2" s="33">
        <f t="shared" ref="P2:P5" si="1">L2*O2</f>
        <v>730.65901999999994</v>
      </c>
      <c r="Q2" s="31"/>
      <c r="R2" s="29"/>
      <c r="S2" s="31">
        <f t="shared" ref="S2:S6" si="2">(P2-H2)/H2</f>
        <v>-6.3329593347021568E-2</v>
      </c>
      <c r="T2" s="31"/>
    </row>
    <row r="3" spans="1:20">
      <c r="A3" s="70" t="s">
        <v>26</v>
      </c>
      <c r="B3" s="70" t="s">
        <v>239</v>
      </c>
      <c r="C3" s="72" t="s">
        <v>240</v>
      </c>
      <c r="D3" s="70" t="s">
        <v>241</v>
      </c>
      <c r="E3" s="70" t="s">
        <v>10</v>
      </c>
      <c r="F3" s="70" t="s">
        <v>119</v>
      </c>
      <c r="G3" s="70" t="s">
        <v>16</v>
      </c>
      <c r="H3" s="33">
        <f t="shared" si="0"/>
        <v>1010.4</v>
      </c>
      <c r="I3" s="31">
        <f>(H3)/H6</f>
        <v>0.25964928584026709</v>
      </c>
      <c r="J3" s="73" t="s">
        <v>53</v>
      </c>
      <c r="K3" s="33">
        <v>63.15</v>
      </c>
      <c r="L3" s="36">
        <v>16</v>
      </c>
      <c r="M3" s="33">
        <f>K3</f>
        <v>63.15</v>
      </c>
      <c r="N3" s="33">
        <v>65.099999999999994</v>
      </c>
      <c r="O3" s="33">
        <f>N3</f>
        <v>65.099999999999994</v>
      </c>
      <c r="P3" s="33">
        <f t="shared" si="1"/>
        <v>1041.5999999999999</v>
      </c>
      <c r="Q3" s="31">
        <f>(P2+P3)/P6</f>
        <v>0.45215081630998788</v>
      </c>
      <c r="R3" s="33"/>
      <c r="S3" s="31">
        <f t="shared" si="2"/>
        <v>3.0878859857482118E-2</v>
      </c>
      <c r="T3" s="31"/>
    </row>
    <row r="4" spans="1:20">
      <c r="A4" s="70" t="s">
        <v>46</v>
      </c>
      <c r="B4" s="70" t="s">
        <v>242</v>
      </c>
      <c r="C4" s="72" t="s">
        <v>156</v>
      </c>
      <c r="D4" s="70" t="s">
        <v>157</v>
      </c>
      <c r="E4" s="70" t="s">
        <v>10</v>
      </c>
      <c r="F4" s="70" t="s">
        <v>243</v>
      </c>
      <c r="G4" s="70" t="s">
        <v>16</v>
      </c>
      <c r="H4" s="33">
        <f t="shared" si="0"/>
        <v>1007.4000000000001</v>
      </c>
      <c r="I4" s="31">
        <f>(H4)/H6</f>
        <v>0.25887835565665585</v>
      </c>
      <c r="J4" s="73" t="s">
        <v>53</v>
      </c>
      <c r="K4" s="33">
        <v>335.8</v>
      </c>
      <c r="L4" s="36">
        <v>3</v>
      </c>
      <c r="M4" s="33">
        <f>K4</f>
        <v>335.8</v>
      </c>
      <c r="N4" s="33">
        <v>382</v>
      </c>
      <c r="O4" s="33">
        <f>N4</f>
        <v>382</v>
      </c>
      <c r="P4" s="33">
        <f t="shared" si="1"/>
        <v>1146</v>
      </c>
      <c r="Q4" s="31">
        <f>(P4)/P6</f>
        <v>0.29237534110067392</v>
      </c>
      <c r="R4" s="33"/>
      <c r="S4" s="31">
        <f t="shared" si="2"/>
        <v>0.13758189398451448</v>
      </c>
      <c r="T4" s="31"/>
    </row>
    <row r="5" spans="1:20">
      <c r="A5" s="70" t="s">
        <v>38</v>
      </c>
      <c r="B5" s="70" t="s">
        <v>244</v>
      </c>
      <c r="C5" s="72" t="s">
        <v>245</v>
      </c>
      <c r="D5" s="70" t="s">
        <v>246</v>
      </c>
      <c r="E5" s="70" t="s">
        <v>29</v>
      </c>
      <c r="F5" s="70" t="s">
        <v>247</v>
      </c>
      <c r="G5" s="29" t="s">
        <v>22</v>
      </c>
      <c r="H5" s="33">
        <f t="shared" si="0"/>
        <v>1093.543066</v>
      </c>
      <c r="I5" s="31">
        <f>(H5)/H6</f>
        <v>0.28101511888606101</v>
      </c>
      <c r="J5" s="73" t="s">
        <v>53</v>
      </c>
      <c r="K5" s="33">
        <v>176.86</v>
      </c>
      <c r="L5" s="36">
        <v>7</v>
      </c>
      <c r="M5" s="33">
        <f>K5*0.8833</f>
        <v>156.220438</v>
      </c>
      <c r="N5" s="33">
        <v>162.54</v>
      </c>
      <c r="O5" s="33">
        <f>N5*B11</f>
        <v>143.05145399999998</v>
      </c>
      <c r="P5" s="33">
        <f t="shared" si="1"/>
        <v>1001.3601779999999</v>
      </c>
      <c r="Q5" s="31">
        <f>(P5)/P6</f>
        <v>0.2554738425893382</v>
      </c>
      <c r="R5" s="33"/>
      <c r="S5" s="31">
        <f t="shared" si="2"/>
        <v>-8.4297446407108442E-2</v>
      </c>
      <c r="T5" s="31"/>
    </row>
    <row r="6" spans="1:20" s="4" customFormat="1">
      <c r="A6" s="10"/>
      <c r="B6" s="10"/>
      <c r="C6" s="10"/>
      <c r="D6" s="10"/>
      <c r="E6" s="10"/>
      <c r="F6" s="10"/>
      <c r="G6" s="10"/>
      <c r="H6" s="11">
        <f>SUM(H2:H5)</f>
        <v>3891.4029620000001</v>
      </c>
      <c r="I6" s="12">
        <f>SUM(I2:I5)</f>
        <v>1</v>
      </c>
      <c r="J6" s="10"/>
      <c r="K6" s="11"/>
      <c r="L6" s="19"/>
      <c r="M6" s="11"/>
      <c r="N6" s="11"/>
      <c r="O6" s="11"/>
      <c r="P6" s="11">
        <f>SUM(P2:P5)</f>
        <v>3919.6191979999999</v>
      </c>
      <c r="Q6" s="12">
        <f>SUM(Q2:Q5)</f>
        <v>1</v>
      </c>
      <c r="R6" s="11"/>
      <c r="S6" s="12">
        <f t="shared" si="2"/>
        <v>7.2509160000993368E-3</v>
      </c>
      <c r="T6" s="12"/>
    </row>
    <row r="8" spans="1:20">
      <c r="A8" s="40" t="s">
        <v>72</v>
      </c>
      <c r="B8" s="40"/>
      <c r="C8" s="40"/>
      <c r="D8" s="40"/>
      <c r="E8" s="40"/>
      <c r="F8" s="40"/>
      <c r="G8" s="40"/>
      <c r="H8" s="41"/>
      <c r="I8" s="42"/>
      <c r="J8" s="40" t="s">
        <v>64</v>
      </c>
      <c r="K8" s="41">
        <v>1952.83</v>
      </c>
      <c r="L8" s="43"/>
      <c r="M8" s="41"/>
      <c r="N8" s="41">
        <f>'170830_langfr_Geldanlage'!N14</f>
        <v>2085.84</v>
      </c>
      <c r="O8" s="41"/>
      <c r="P8" s="41"/>
      <c r="Q8" s="42"/>
      <c r="R8" s="41" t="s">
        <v>64</v>
      </c>
      <c r="S8" s="42">
        <f>(N8-K8)/K8</f>
        <v>6.8111407546996017E-2</v>
      </c>
      <c r="T8" s="42"/>
    </row>
    <row r="10" spans="1:20">
      <c r="A10" s="35" t="s">
        <v>117</v>
      </c>
    </row>
    <row r="11" spans="1:20">
      <c r="A11" s="35" t="s">
        <v>22</v>
      </c>
      <c r="B11" s="35">
        <f>'170830_langfr_Geldanlage'!B18</f>
        <v>0.88009999999999999</v>
      </c>
    </row>
    <row r="12" spans="1:20">
      <c r="A12" s="35" t="s">
        <v>118</v>
      </c>
      <c r="B12" s="35">
        <f>'170830_langfr_Geldanlage'!B19</f>
        <v>1.1615</v>
      </c>
    </row>
    <row r="14" spans="1:20">
      <c r="A14" s="48" t="s">
        <v>125</v>
      </c>
      <c r="B14" s="49">
        <f>'170830_langfr_Geldanlage'!B25</f>
        <v>43527</v>
      </c>
      <c r="C14" s="56" t="str">
        <f>'170830_langfr_Geldanlage'!C25</f>
        <v>ist ein Sonntag</v>
      </c>
      <c r="K14" s="44">
        <v>21.024999999999999</v>
      </c>
    </row>
    <row r="15" spans="1:20">
      <c r="A15" s="48" t="s">
        <v>126</v>
      </c>
      <c r="B15" s="44">
        <v>0.17</v>
      </c>
      <c r="K15" s="44">
        <v>63.074999999999996</v>
      </c>
    </row>
  </sheetData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&amp;C&amp;"Calibri,Standard"&amp;K000000Empfehlungsliste per 13.12.2017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170830_langfr_Geldanlage</vt:lpstr>
      <vt:lpstr>171004_langfr_Geldanlage</vt:lpstr>
      <vt:lpstr>180302_langfr_Geldanlage</vt:lpstr>
      <vt:lpstr>180817_langfr_Geldanlage</vt:lpstr>
      <vt:lpstr>181120_langfr_Geldanlage</vt:lpstr>
      <vt:lpstr>181212_2019_Empfehlungsliste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2019-03-02T14:30:53Z</dcterms:modified>
</cp:coreProperties>
</file>