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  <sheet name="181212_2019_Empfehlungsliste" sheetId="10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0" l="1"/>
  <c r="O4" i="10"/>
  <c r="M4" i="10"/>
  <c r="O3" i="10"/>
  <c r="M3" i="10"/>
  <c r="B11" i="10"/>
  <c r="O2" i="10"/>
  <c r="M2" i="10"/>
  <c r="N13" i="9"/>
  <c r="H2" i="10"/>
  <c r="H3" i="10"/>
  <c r="H4" i="10"/>
  <c r="H5" i="10"/>
  <c r="H6" i="10"/>
  <c r="I2" i="10"/>
  <c r="I3" i="10"/>
  <c r="C14" i="10"/>
  <c r="B14" i="10"/>
  <c r="B12" i="10"/>
  <c r="N8" i="10"/>
  <c r="S8" i="10"/>
  <c r="P2" i="10"/>
  <c r="P3" i="10"/>
  <c r="P4" i="10"/>
  <c r="O5" i="10"/>
  <c r="P5" i="10"/>
  <c r="P6" i="10"/>
  <c r="S6" i="10"/>
  <c r="Q3" i="10"/>
  <c r="Q4" i="10"/>
  <c r="Q5" i="10"/>
  <c r="Q6" i="10"/>
  <c r="I4" i="10"/>
  <c r="I5" i="10"/>
  <c r="I6" i="10"/>
  <c r="S5" i="10"/>
  <c r="S4" i="10"/>
  <c r="S3" i="10"/>
  <c r="S2" i="10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H11" i="9"/>
  <c r="I10" i="9"/>
  <c r="O6" i="9"/>
  <c r="M6" i="9"/>
  <c r="O3" i="9"/>
  <c r="M3" i="9"/>
  <c r="H3" i="9"/>
  <c r="H6" i="9"/>
  <c r="I3" i="9"/>
  <c r="I9" i="9"/>
  <c r="B18" i="9"/>
  <c r="O4" i="9"/>
  <c r="I4" i="9"/>
  <c r="O7" i="9"/>
  <c r="B19" i="9"/>
  <c r="O8" i="9"/>
  <c r="B23" i="9"/>
  <c r="B20" i="9"/>
  <c r="B17" i="9"/>
  <c r="S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S11" i="9"/>
  <c r="I5" i="9"/>
  <c r="I6" i="9"/>
  <c r="I8" i="9"/>
  <c r="I11" i="9"/>
  <c r="S10" i="9"/>
  <c r="S9" i="9"/>
  <c r="S8" i="9"/>
  <c r="S7" i="9"/>
  <c r="S6" i="9"/>
  <c r="S5" i="9"/>
  <c r="S4" i="9"/>
  <c r="S3" i="9"/>
  <c r="S2" i="9"/>
  <c r="B20" i="7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<sst xmlns="http://schemas.openxmlformats.org/spreadsheetml/2006/main" count="598" uniqueCount="250">
  <si>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</si>
  <si>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</si>
  <si>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</si>
  <si>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</si>
  <si>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</si>
  <si>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</si>
  <si>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</si>
  <si>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</si>
  <si>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</si>
  <si>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</si>
  <si>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</si>
  <si>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</si>
  <si>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</si>
  <si>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</si>
  <si>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</si>
  <si>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</si>
  <si>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</si>
  <si>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</si>
  <si>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</si>
  <si>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</si>
  <si>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</si>
  <si>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</si>
  <si>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</si>
  <si>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</si>
  <si>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</si>
  <si>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</si>
  <si>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</si>
  <si>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</si>
  <si>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</si>
  <si>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</si>
  <si>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</si>
  <si>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</si>
  <si>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</si>
  <si>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</si>
  <si>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</si>
  <si>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</si>
  <si>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</si>
  <si>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</si>
  <si>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</si>
  <si>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</si>
  <si>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</si>
  <si>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</si>
  <si>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</si>
  <si>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</si>
  <si>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</si>
  <si>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</si>
  <si>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</si>
  <si>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</si>
  <si>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</si>
  <si>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</si>
  <si>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</si>
  <si>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</si>
  <si>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</si>
  <si>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</si>
  <si>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</si>
  <si>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</si>
  <si>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</si>
  <si>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</si>
  <si>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</si>
  <si>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</si>
  <si>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</si>
  <si>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</si>
  <si>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</si>
  <si>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</si>
  <si>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</si>
  <si>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</si>
  <si>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</si>
  <si>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</si>
  <si>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</si>
  <si>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</si>
  <si>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</si>
  <si>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</si>
  <si>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</si>
  <si>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</si>
  <si>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</si>
  <si>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</si>
  <si>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</si>
  <si>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</si>
  <si>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</si>
  <si>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</si>
  <si>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</si>
  <si>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</si>
  <si>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</si>
  <si>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</si>
  <si>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</si>
  <si>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</si>
  <si>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</si>
  <si>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</si>
  <si>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</si>
  <si>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</si>
  <si>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</si>
  <si>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</si>
  <si>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</si>
  <si>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</si>
  <si>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</si>
  <si>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</si>
  <si>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</si>
  <si>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</si>
  <si>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</si>
  <si>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</si>
  <si>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</si>
  <si>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</si>
  <si>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</si>
  <si>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</si>
  <si>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</si>
  <si>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</si>
  <si>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</si>
  <si>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</si>
  <si>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</si>
  <si>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</si>
  <si>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</si>
  <si>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</si>
  <si>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</si>
  <si>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</si>
  <si>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</si>
  <si>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</si>
  <si>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</si>
  <si>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</si>
  <si>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GBP</t>
  </si>
  <si>
    <t>DE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</si>
  <si>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</si>
  <si>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</si>
  <si>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</si>
  <si>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</si>
  <si>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</si>
  <si>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</si>
  <si>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</si>
  <si>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</si>
  <si>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</si>
  <si>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</si>
  <si>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</si>
  <si>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</si>
  <si>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</si>
  <si>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</si>
  <si>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</si>
  <si>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</si>
  <si>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</si>
  <si>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</si>
  <si>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</si>
  <si>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</si>
  <si>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</si>
  <si>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</si>
  <si>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</si>
  <si>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</si>
  <si>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</si>
  <si>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</si>
  <si>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</si>
  <si>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</si>
  <si>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</si>
  <si>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</si>
  <si>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</si>
  <si>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</si>
  <si>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</si>
  <si>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</si>
  <si>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</si>
  <si>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</si>
  <si>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</si>
  <si>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</si>
  <si>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</si>
  <si>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</si>
  <si>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</si>
  <si>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</si>
  <si>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</si>
  <si>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</si>
  <si>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</si>
  <si>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</si>
  <si>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</si>
  <si>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</si>
  <si>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</si>
  <si>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</si>
  <si>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</si>
  <si>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</si>
  <si>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</si>
  <si>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</si>
  <si>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</si>
  <si>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</si>
  <si>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</si>
  <si>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</si>
  <si>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</si>
  <si>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</si>
  <si>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</si>
  <si>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</si>
  <si>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</si>
  <si>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</si>
  <si>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</si>
  <si>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</si>
  <si>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</si>
  <si>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</si>
  <si>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</si>
  <si>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</si>
  <si>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</si>
  <si>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</si>
  <si>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</si>
  <si>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</si>
  <si>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</si>
  <si>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</si>
  <si>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</si>
  <si>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</si>
  <si>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</si>
  <si>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</si>
  <si>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</si>
  <si>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</si>
  <si>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</si>
  <si>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</si>
  <si>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</si>
  <si>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</si>
  <si>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</si>
  <si>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</si>
  <si>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</si>
  <si>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</si>
  <si>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</si>
  <si>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</si>
  <si>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</si>
  <si>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</si>
  <si>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</si>
  <si>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</si>
  <si>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</si>
  <si>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</si>
  <si>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</si>
  <si>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</si>
  <si>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</si>
  <si>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</si>
  <si>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</si>
  <si>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</si>
  <si>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</si>
  <si>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</si>
  <si>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</si>
  <si>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</si>
  <si>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</si>
  <si>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</si>
  <si>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</si>
  <si>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</si>
  <si>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</si>
  <si>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</si>
  <si>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</si>
  <si>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Medizintechnik Geräte Zahnt. Tiergesundh.</t>
  </si>
  <si>
    <t>Henry Schein</t>
  </si>
  <si>
    <t>897961 US</t>
  </si>
  <si>
    <r>
      <t>Wert 31.12.201</t>
    </r>
    <r>
      <rPr>
        <sz val="12"/>
        <color theme="1"/>
        <rFont val="Calibri"/>
        <family val="2"/>
        <charset val="204"/>
        <scheme val="minor"/>
      </rPr>
      <t>8</t>
    </r>
  </si>
  <si>
    <t>Verkehr Hersteller</t>
  </si>
  <si>
    <t>BMW</t>
  </si>
  <si>
    <t>519003 DE</t>
  </si>
  <si>
    <t>Sonstige Dienstl. Kontrollen Analyse Prüf- Abnahme</t>
  </si>
  <si>
    <t>FR</t>
  </si>
  <si>
    <t>Internet Neue Technologien Suchmaschine</t>
  </si>
  <si>
    <t>Baidu</t>
  </si>
  <si>
    <t>A0F5DE CN</t>
  </si>
  <si>
    <t>CN</t>
  </si>
  <si>
    <t>A2PA4R GB</t>
  </si>
  <si>
    <t>ca. 21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</si>
</sst>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4" fontId="9" fillId="0" borderId="0" xfId="0" applyNumberFormat="1" applyFont="1"/>
    <xf numFmtId="10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4" fillId="0" borderId="1" xfId="0" applyFont="1" applyFill="1" applyBorder="1"/>
    <xf numFmtId="0" fontId="3" fillId="0" borderId="1" xfId="0" applyFont="1" applyBorder="1"/>
    <xf numFmtId="0" fontId="2" fillId="0" borderId="1" xfId="0" applyFont="1" applyBorder="1"/>
  </cellXfs>
  <cellStyles count="248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2" sqref="R1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9" t="s">
        <v>70</v>
      </c>
      <c r="S1" s="23" t="s">
        <v>74</v>
      </c>
      <c r="T1" s="53" t="s">
        <v>154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40.299999999999997</v>
      </c>
      <c r="O2" s="6">
        <f>N2</f>
        <v>40.299999999999997</v>
      </c>
      <c r="P2" s="6">
        <f t="shared" ref="P2:P11" si="1">L2*O2</f>
        <v>886.59999999999991</v>
      </c>
      <c r="Q2" s="7"/>
      <c r="R2" s="7">
        <f t="shared" ref="R2:R12" si="2">(P2-H2)/H2</f>
        <v>-0.11253027967408068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82.26</v>
      </c>
      <c r="O3" s="6">
        <f>N3</f>
        <v>82.26</v>
      </c>
      <c r="P3" s="6">
        <f t="shared" si="1"/>
        <v>1316.16</v>
      </c>
      <c r="Q3" s="7">
        <f>(P2+P3)/P12</f>
        <v>0.17798577520806769</v>
      </c>
      <c r="R3" s="7">
        <f t="shared" si="2"/>
        <v>0.33538961038961046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143.41</v>
      </c>
      <c r="O4" s="6">
        <f>N4</f>
        <v>143.41</v>
      </c>
      <c r="P4" s="6">
        <f t="shared" si="1"/>
        <v>1290.69</v>
      </c>
      <c r="Q4" s="7"/>
      <c r="R4" s="7">
        <f t="shared" si="2"/>
        <v>0.26608987375297971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25.51</v>
      </c>
      <c r="O5" s="6">
        <f>N5*B19</f>
        <v>29.849250999999999</v>
      </c>
      <c r="P5" s="6">
        <f t="shared" si="1"/>
        <v>1193.9700399999999</v>
      </c>
      <c r="Q5" s="7">
        <f>(P4+P5)/P12</f>
        <v>0.2007636525758178</v>
      </c>
      <c r="R5" s="7">
        <f t="shared" si="2"/>
        <v>0.20166066827697252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93.63</v>
      </c>
      <c r="O6" s="6">
        <f>N6*B21</f>
        <v>62.479298999999997</v>
      </c>
      <c r="P6" s="6">
        <f t="shared" si="1"/>
        <v>1499.5031759999999</v>
      </c>
      <c r="Q6" s="7"/>
      <c r="R6" s="7">
        <f t="shared" si="2"/>
        <v>0.49044129293893118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41.78</v>
      </c>
      <c r="O7" s="6">
        <f>N7*B18</f>
        <v>37.154954000000004</v>
      </c>
      <c r="P7" s="6">
        <f t="shared" si="1"/>
        <v>1188.9585280000001</v>
      </c>
      <c r="Q7" s="7">
        <f>(P6+P7)/P12</f>
        <v>0.21723108305200867</v>
      </c>
      <c r="R7" s="7">
        <f t="shared" si="2"/>
        <v>0.19816039987100942</v>
      </c>
      <c r="S7" s="7"/>
      <c r="T7" s="7">
        <v>0.03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182.15</v>
      </c>
      <c r="O8" s="6">
        <f>N8*B18</f>
        <v>161.985995</v>
      </c>
      <c r="P8" s="6">
        <f t="shared" si="1"/>
        <v>1457.873955</v>
      </c>
      <c r="Q8" s="7"/>
      <c r="R8" s="7">
        <f t="shared" si="2"/>
        <v>0.47407402857402864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84.39</v>
      </c>
      <c r="O9" s="6">
        <f>N9*B18</f>
        <v>75.048027000000005</v>
      </c>
      <c r="P9" s="6">
        <f t="shared" si="1"/>
        <v>1726.1046210000002</v>
      </c>
      <c r="Q9" s="7">
        <f>(P8+P9)/P12</f>
        <v>0.25726946880061352</v>
      </c>
      <c r="R9" s="7">
        <f t="shared" si="2"/>
        <v>0.69830339443313005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54.39</v>
      </c>
      <c r="O10" s="6">
        <f>N10*B18</f>
        <v>48.369027000000003</v>
      </c>
      <c r="P10" s="6">
        <f t="shared" si="1"/>
        <v>870.64248600000008</v>
      </c>
      <c r="Q10" s="7">
        <f>P10/P12</f>
        <v>7.0349006609793721E-2</v>
      </c>
      <c r="R10" s="7">
        <f t="shared" si="2"/>
        <v>-9.8769759642258217E-2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266.2</v>
      </c>
      <c r="O11" s="6">
        <f>N11*B22</f>
        <v>25.555199999999999</v>
      </c>
      <c r="P11" s="6">
        <f t="shared" si="1"/>
        <v>945.54239999999993</v>
      </c>
      <c r="Q11" s="7">
        <f>P11/P12</f>
        <v>7.6401013753698455E-2</v>
      </c>
      <c r="R11" s="7">
        <f t="shared" si="2"/>
        <v>-4.7158836689038135E-2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12376.045206000003</v>
      </c>
      <c r="Q12" s="12"/>
      <c r="R12" s="12">
        <f t="shared" si="2"/>
        <v>0.2425960288478822</v>
      </c>
      <c r="S12" s="12"/>
      <c r="T12" s="12">
        <f>AVERAGE(T2:T11)</f>
        <v>1.8800000000000001E-2</v>
      </c>
    </row>
    <row r="13" spans="1:20">
      <c r="S13" s="6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2131.71</v>
      </c>
      <c r="O14" s="15"/>
      <c r="P14" s="15"/>
      <c r="Q14" s="16"/>
      <c r="R14" s="16">
        <f>(N14-K14)/K14</f>
        <v>9.4571072075911575E-2</v>
      </c>
      <c r="S14" s="16"/>
    </row>
    <row r="17" spans="1:3">
      <c r="A17" s="35" t="s">
        <v>117</v>
      </c>
      <c r="B17" s="48" t="s">
        <v>151</v>
      </c>
    </row>
    <row r="18" spans="1:3">
      <c r="A18" s="35" t="s">
        <v>22</v>
      </c>
      <c r="B18" s="35">
        <v>0.88929999999999998</v>
      </c>
    </row>
    <row r="19" spans="1:3">
      <c r="A19" s="35" t="s">
        <v>120</v>
      </c>
      <c r="B19" s="1">
        <v>1.1700999999999999</v>
      </c>
    </row>
    <row r="20" spans="1:3">
      <c r="A20" s="35" t="s">
        <v>31</v>
      </c>
      <c r="B20" s="35">
        <v>7.9000000000000008E-3</v>
      </c>
    </row>
    <row r="21" spans="1:3">
      <c r="A21" s="35" t="s">
        <v>42</v>
      </c>
      <c r="B21" s="1">
        <v>0.6673</v>
      </c>
    </row>
    <row r="22" spans="1:3">
      <c r="A22" s="35" t="s">
        <v>50</v>
      </c>
      <c r="B22" s="35">
        <v>9.6000000000000002E-2</v>
      </c>
    </row>
    <row r="25" spans="1:3">
      <c r="A25" s="48" t="s">
        <v>125</v>
      </c>
      <c r="B25" s="49">
        <v>43559</v>
      </c>
      <c r="C25" s="56" t="s">
        <v>249</v>
      </c>
    </row>
    <row r="26" spans="1:3">
      <c r="A26" s="48" t="s">
        <v>126</v>
      </c>
      <c r="B26" s="2">
        <v>1.58</v>
      </c>
    </row>
    <row r="29" spans="1:3">
      <c r="A29" s="48" t="s">
        <v>152</v>
      </c>
    </row>
    <row r="30" spans="1:3">
      <c r="A30" s="48" t="s">
        <v>153</v>
      </c>
      <c r="B30" s="52">
        <v>1.2</v>
      </c>
    </row>
    <row r="31" spans="1:3">
      <c r="A31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735.82</v>
      </c>
      <c r="O2" s="33">
        <f>N2*B19</f>
        <v>98.452716000000009</v>
      </c>
      <c r="P2" s="33">
        <f t="shared" ref="P2:P11" si="1">L2*O2</f>
        <v>1378.3380240000001</v>
      </c>
      <c r="Q2" s="31"/>
      <c r="R2" s="29"/>
      <c r="S2" s="31">
        <f t="shared" ref="S2:S12" si="2">(P2-H2)/H2</f>
        <v>0.36298522215907791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334</v>
      </c>
      <c r="O3" s="33">
        <f>N3</f>
        <v>334</v>
      </c>
      <c r="P3" s="33">
        <f t="shared" si="1"/>
        <v>668</v>
      </c>
      <c r="Q3" s="31">
        <f>(P2+P3)/P12</f>
        <v>0.16904610556505476</v>
      </c>
      <c r="R3" s="33"/>
      <c r="S3" s="31">
        <f t="shared" si="2"/>
        <v>-0.19808115706805021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411.7</v>
      </c>
      <c r="O4" s="33">
        <f>N4*B18</f>
        <v>366.82470000000001</v>
      </c>
      <c r="P4" s="33">
        <f t="shared" si="1"/>
        <v>1100.4740999999999</v>
      </c>
      <c r="Q4" s="31"/>
      <c r="R4" s="33"/>
      <c r="S4" s="31">
        <f t="shared" si="2"/>
        <v>-8.6469320136875125E-2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54.22</v>
      </c>
      <c r="O5" s="33">
        <f>N5</f>
        <v>54.22</v>
      </c>
      <c r="P5" s="33">
        <f t="shared" si="1"/>
        <v>975.96</v>
      </c>
      <c r="Q5" s="31"/>
      <c r="R5" s="33"/>
      <c r="S5" s="31">
        <f t="shared" si="2"/>
        <v>3.2751697722184551E-3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464.15</v>
      </c>
      <c r="O6" s="33">
        <f>N6*B17</f>
        <v>412.76859499999995</v>
      </c>
      <c r="P6" s="33">
        <f t="shared" si="1"/>
        <v>1651.0743799999998</v>
      </c>
      <c r="Q6" s="31">
        <f>(P4+P5+P6)/P12</f>
        <v>0.30792605357203523</v>
      </c>
      <c r="R6" s="33"/>
      <c r="S6" s="31">
        <f t="shared" si="2"/>
        <v>0.8473075011045299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1817.25</v>
      </c>
      <c r="O7" s="33">
        <f>N7*B17</f>
        <v>1616.0804249999999</v>
      </c>
      <c r="P7" s="33">
        <f t="shared" si="1"/>
        <v>1616.0804249999999</v>
      </c>
      <c r="Q7" s="31"/>
      <c r="R7" s="33"/>
      <c r="S7" s="31">
        <f t="shared" si="2"/>
        <v>0.96662528562411243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71.91</v>
      </c>
      <c r="O8" s="33">
        <f>N8*B17</f>
        <v>63.949562999999998</v>
      </c>
      <c r="P8" s="33">
        <f t="shared" si="1"/>
        <v>1598.739075</v>
      </c>
      <c r="Q8" s="31">
        <f>(P7+P8)/P12</f>
        <v>0.26557328759757065</v>
      </c>
      <c r="R8" s="33"/>
      <c r="S8" s="31">
        <f t="shared" si="2"/>
        <v>0.57930162286389963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266.02</v>
      </c>
      <c r="O9" s="33">
        <f>N9*B17</f>
        <v>236.57158599999997</v>
      </c>
      <c r="P9" s="33">
        <f t="shared" si="1"/>
        <v>946.28634399999987</v>
      </c>
      <c r="Q9" s="31">
        <f>(P9)/P12</f>
        <v>7.8171846159563754E-2</v>
      </c>
      <c r="R9" s="33"/>
      <c r="S9" s="31">
        <f t="shared" si="2"/>
        <v>2.7125629881969666E-2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101.95</v>
      </c>
      <c r="O10" s="33">
        <f>N10</f>
        <v>101.95</v>
      </c>
      <c r="P10" s="33">
        <f t="shared" si="1"/>
        <v>1019.5</v>
      </c>
      <c r="Q10" s="31">
        <f>(P10)/P12</f>
        <v>8.4219959069466679E-2</v>
      </c>
      <c r="R10" s="33"/>
      <c r="S10" s="31">
        <f t="shared" si="2"/>
        <v>-3.5933806146572107E-2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51.76</v>
      </c>
      <c r="O11" s="33">
        <f>N11*B17</f>
        <v>46.030167999999996</v>
      </c>
      <c r="P11" s="33">
        <f t="shared" si="1"/>
        <v>1150.7541999999999</v>
      </c>
      <c r="Q11" s="31">
        <f>(P11)/P12</f>
        <v>9.5062748036308833E-2</v>
      </c>
      <c r="R11" s="33"/>
      <c r="S11" s="31">
        <f t="shared" si="2"/>
        <v>0.15029336372115909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12105.206548</v>
      </c>
      <c r="Q12" s="12">
        <f>SUM(Q2:Q11)</f>
        <v>0.99999999999999989</v>
      </c>
      <c r="R12" s="11"/>
      <c r="S12" s="12">
        <f t="shared" si="2"/>
        <v>0.24427678017257798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2131.71</v>
      </c>
      <c r="O14" s="41"/>
      <c r="P14" s="41"/>
      <c r="Q14" s="42"/>
      <c r="R14" s="41" t="s">
        <v>64</v>
      </c>
      <c r="S14" s="42">
        <f>(N14-K14)/K14</f>
        <v>6.0053328135116574E-2</v>
      </c>
      <c r="T14" s="42">
        <v>2.6100000000000002E-2</v>
      </c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0.88929999999999998</v>
      </c>
    </row>
    <row r="18" spans="1:3">
      <c r="A18" s="35" t="s">
        <v>90</v>
      </c>
      <c r="B18" s="35">
        <v>0.89100000000000001</v>
      </c>
    </row>
    <row r="19" spans="1:3">
      <c r="A19" s="35" t="s">
        <v>83</v>
      </c>
      <c r="B19" s="35">
        <v>0.1338</v>
      </c>
    </row>
    <row r="22" spans="1:3">
      <c r="A22" s="48" t="s">
        <v>125</v>
      </c>
      <c r="B22" s="49">
        <f>'170830_langfr_Geldanlage'!B25</f>
        <v>43559</v>
      </c>
      <c r="C22" s="56" t="str">
        <f>'170830_langfr_Geldanlage'!C25</f>
        <v>ca. 21 Uhr</v>
      </c>
    </row>
    <row r="23" spans="1:3">
      <c r="A23" s="48" t="s">
        <v>126</v>
      </c>
      <c r="B23" s="44">
        <v>1.5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" sqref="N3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132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1" t="s">
        <v>128</v>
      </c>
      <c r="B2" s="51" t="s">
        <v>129</v>
      </c>
      <c r="C2" s="51" t="s">
        <v>130</v>
      </c>
      <c r="D2" s="51" t="s">
        <v>131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49.02</v>
      </c>
      <c r="O2" s="6">
        <f>N2*B21</f>
        <v>32.711046000000003</v>
      </c>
      <c r="P2" s="6">
        <f t="shared" ref="P2:P11" si="1">L2*O2</f>
        <v>1308.4418400000002</v>
      </c>
      <c r="Q2" s="7"/>
      <c r="R2" s="33"/>
      <c r="S2" s="7">
        <f>(P2-H2)/H2</f>
        <v>0.27560232553859054</v>
      </c>
      <c r="T2" s="7"/>
    </row>
    <row r="3" spans="1:20">
      <c r="A3" s="51" t="s">
        <v>133</v>
      </c>
      <c r="B3" s="51" t="s">
        <v>134</v>
      </c>
      <c r="C3" s="51" t="s">
        <v>135</v>
      </c>
      <c r="D3" s="51" t="s">
        <v>136</v>
      </c>
      <c r="E3" s="51" t="s">
        <v>29</v>
      </c>
      <c r="F3" s="51" t="s">
        <v>137</v>
      </c>
      <c r="G3" s="51" t="s">
        <v>16</v>
      </c>
      <c r="H3" s="6">
        <f t="shared" si="0"/>
        <v>946.80000000000007</v>
      </c>
      <c r="I3" s="7"/>
      <c r="J3" s="51" t="s">
        <v>138</v>
      </c>
      <c r="K3" s="6">
        <v>78.900000000000006</v>
      </c>
      <c r="L3" s="18">
        <v>12</v>
      </c>
      <c r="M3" s="6">
        <f>K3</f>
        <v>78.900000000000006</v>
      </c>
      <c r="N3" s="6">
        <v>102.95</v>
      </c>
      <c r="O3" s="6">
        <f>N3</f>
        <v>102.95</v>
      </c>
      <c r="P3" s="6">
        <f t="shared" si="1"/>
        <v>1235.4000000000001</v>
      </c>
      <c r="Q3" s="7"/>
      <c r="R3" s="26"/>
      <c r="S3" s="7">
        <f t="shared" ref="S3:S12" si="2">(P3-H3)/H3</f>
        <v>0.30481622306717365</v>
      </c>
      <c r="T3" s="7"/>
    </row>
    <row r="4" spans="1:20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40.299999999999997</v>
      </c>
      <c r="O4" s="6">
        <f>N4</f>
        <v>40.299999999999997</v>
      </c>
      <c r="P4" s="6">
        <f t="shared" si="1"/>
        <v>1007.4999999999999</v>
      </c>
      <c r="Q4" s="7"/>
      <c r="R4" s="28"/>
      <c r="S4" s="7">
        <f t="shared" si="2"/>
        <v>1.9736842105262924E-2</v>
      </c>
      <c r="T4" s="7"/>
    </row>
    <row r="5" spans="1:20">
      <c r="A5" s="51" t="s">
        <v>17</v>
      </c>
      <c r="B5" s="51" t="s">
        <v>139</v>
      </c>
      <c r="C5" s="51" t="s">
        <v>140</v>
      </c>
      <c r="D5" s="51" t="s">
        <v>141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89.16</v>
      </c>
      <c r="O5" s="6">
        <f>N5</f>
        <v>89.16</v>
      </c>
      <c r="P5" s="6">
        <f t="shared" si="1"/>
        <v>891.59999999999991</v>
      </c>
      <c r="Q5" s="7"/>
      <c r="R5" s="33"/>
      <c r="S5" s="7">
        <f t="shared" si="2"/>
        <v>-0.16516853932584277</v>
      </c>
      <c r="T5" s="7"/>
    </row>
    <row r="6" spans="1:20">
      <c r="A6" s="51" t="s">
        <v>25</v>
      </c>
      <c r="B6" s="51" t="s">
        <v>146</v>
      </c>
      <c r="C6" s="51" t="s">
        <v>144</v>
      </c>
      <c r="D6" s="51" t="s">
        <v>145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179.26</v>
      </c>
      <c r="O6" s="6">
        <f>N6*B18</f>
        <v>159.41591799999998</v>
      </c>
      <c r="P6" s="6">
        <f t="shared" si="1"/>
        <v>956.49550799999986</v>
      </c>
      <c r="Q6" s="7"/>
      <c r="R6" s="22"/>
      <c r="S6" s="7">
        <f t="shared" si="2"/>
        <v>-9.1593317967256074E-2</v>
      </c>
      <c r="T6" s="7"/>
    </row>
    <row r="7" spans="1:20">
      <c r="A7" s="51" t="s">
        <v>26</v>
      </c>
      <c r="B7" s="51" t="s">
        <v>147</v>
      </c>
      <c r="C7" s="51" t="s">
        <v>142</v>
      </c>
      <c r="D7" s="51" t="s">
        <v>148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149</v>
      </c>
      <c r="K7" s="6">
        <v>507.5</v>
      </c>
      <c r="L7" s="18">
        <v>2</v>
      </c>
      <c r="M7" s="6">
        <f>K7</f>
        <v>507.5</v>
      </c>
      <c r="N7" s="6">
        <v>559</v>
      </c>
      <c r="O7" s="6">
        <f>N7</f>
        <v>559</v>
      </c>
      <c r="P7" s="6">
        <f t="shared" si="1"/>
        <v>1118</v>
      </c>
      <c r="Q7" s="7"/>
      <c r="R7" s="28"/>
      <c r="S7" s="7">
        <f t="shared" si="2"/>
        <v>0.10147783251231528</v>
      </c>
      <c r="T7" s="7"/>
    </row>
    <row r="8" spans="1:20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150</v>
      </c>
      <c r="G8" s="51" t="s">
        <v>118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25.51</v>
      </c>
      <c r="O8" s="6">
        <f>N8*B19</f>
        <v>29.849250999999999</v>
      </c>
      <c r="P8" s="6">
        <f t="shared" si="1"/>
        <v>1402.9147969999999</v>
      </c>
      <c r="Q8" s="7"/>
      <c r="R8" s="33"/>
      <c r="S8" s="7">
        <f t="shared" si="2"/>
        <v>0.36831216636526365</v>
      </c>
      <c r="T8" s="7"/>
    </row>
    <row r="9" spans="1:20">
      <c r="A9" s="51" t="s">
        <v>46</v>
      </c>
      <c r="B9" s="51" t="s">
        <v>155</v>
      </c>
      <c r="C9" s="51" t="s">
        <v>156</v>
      </c>
      <c r="D9" s="51" t="s">
        <v>157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381.4</v>
      </c>
      <c r="O9" s="6">
        <f>N9</f>
        <v>381.4</v>
      </c>
      <c r="P9" s="6">
        <f t="shared" si="1"/>
        <v>762.8</v>
      </c>
      <c r="Q9" s="7"/>
      <c r="R9" s="33"/>
      <c r="S9" s="7">
        <f t="shared" si="2"/>
        <v>-0.15954164830321735</v>
      </c>
      <c r="T9" s="7"/>
    </row>
    <row r="10" spans="1:20">
      <c r="A10" s="51" t="s">
        <v>38</v>
      </c>
      <c r="B10" s="51" t="s">
        <v>158</v>
      </c>
      <c r="C10" s="51" t="s">
        <v>143</v>
      </c>
      <c r="D10" s="51" t="s">
        <v>159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160</v>
      </c>
      <c r="K10" s="6">
        <v>43.61</v>
      </c>
      <c r="L10" s="18">
        <v>28</v>
      </c>
      <c r="M10" s="6">
        <f>K10*0.8114</f>
        <v>35.385154</v>
      </c>
      <c r="N10" s="6">
        <v>55.49</v>
      </c>
      <c r="O10" s="6">
        <f>N10*B18</f>
        <v>49.347256999999999</v>
      </c>
      <c r="P10" s="6">
        <f t="shared" si="1"/>
        <v>1381.7231959999999</v>
      </c>
      <c r="Q10" s="7"/>
      <c r="R10" s="28"/>
      <c r="S10" s="7">
        <f t="shared" si="2"/>
        <v>0.39457516561889194</v>
      </c>
      <c r="T10" s="7"/>
    </row>
    <row r="11" spans="1:20" ht="30">
      <c r="A11" s="51" t="s">
        <v>38</v>
      </c>
      <c r="B11" s="54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266.02</v>
      </c>
      <c r="O11" s="6">
        <f>N11*B18</f>
        <v>236.57158599999997</v>
      </c>
      <c r="P11" s="6">
        <f t="shared" si="1"/>
        <v>946.28634399999987</v>
      </c>
      <c r="Q11" s="7"/>
      <c r="R11" s="33"/>
      <c r="S11" s="7">
        <f t="shared" si="2"/>
        <v>2.542734138966388E-2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11011.161684999999</v>
      </c>
      <c r="Q12" s="12"/>
      <c r="R12" s="11"/>
      <c r="S12" s="12">
        <f t="shared" si="2"/>
        <v>0.10743116381328134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127</v>
      </c>
      <c r="K14" s="15">
        <v>2089.9699999999998</v>
      </c>
      <c r="L14" s="20"/>
      <c r="M14" s="15"/>
      <c r="N14" s="15">
        <f>'170830_langfr_Geldanlage'!N14</f>
        <v>2131.71</v>
      </c>
      <c r="O14" s="15"/>
      <c r="P14" s="15"/>
      <c r="Q14" s="16"/>
      <c r="R14" s="24" t="s">
        <v>64</v>
      </c>
      <c r="S14" s="16">
        <f>(N14-K14)/K14</f>
        <v>1.9971578539404986E-2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0.88929999999999998</v>
      </c>
    </row>
    <row r="19" spans="1:3">
      <c r="A19" s="35" t="s">
        <v>120</v>
      </c>
      <c r="B19" s="1">
        <f>'170830_langfr_Geldanlage'!B19</f>
        <v>1.1700999999999999</v>
      </c>
    </row>
    <row r="20" spans="1:3">
      <c r="A20" s="48" t="s">
        <v>14</v>
      </c>
      <c r="B20" s="35">
        <v>0.63300000000000001</v>
      </c>
    </row>
    <row r="21" spans="1:3">
      <c r="A21" s="35" t="s">
        <v>42</v>
      </c>
      <c r="B21" s="1">
        <f>'170830_langfr_Geldanlage'!B21</f>
        <v>0.6673</v>
      </c>
    </row>
    <row r="24" spans="1:3">
      <c r="A24" s="48" t="s">
        <v>125</v>
      </c>
      <c r="B24" s="49">
        <f>'170830_langfr_Geldanlage'!B25</f>
        <v>43559</v>
      </c>
      <c r="C24" s="55" t="str">
        <f>'171004_langfr_Geldanlage'!C22</f>
        <v>ca. 21 Uhr</v>
      </c>
    </row>
    <row r="25" spans="1:3">
      <c r="A25" s="48" t="s">
        <v>126</v>
      </c>
      <c r="B25" s="2">
        <v>1.08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3" sqref="T13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0" t="s">
        <v>173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58" t="s">
        <v>133</v>
      </c>
      <c r="B2" s="59" t="s">
        <v>178</v>
      </c>
      <c r="C2" s="58" t="s">
        <v>164</v>
      </c>
      <c r="D2" s="58" t="s">
        <v>166</v>
      </c>
      <c r="E2" s="58" t="s">
        <v>10</v>
      </c>
      <c r="F2" s="58" t="s">
        <v>15</v>
      </c>
      <c r="G2" s="58" t="s">
        <v>16</v>
      </c>
      <c r="H2" s="6">
        <f t="shared" ref="H2:H10" si="0">M2*L2</f>
        <v>1046.6500000000001</v>
      </c>
      <c r="I2" s="7">
        <f>H2/H11</f>
        <v>0.11321168800391755</v>
      </c>
      <c r="J2" s="58" t="s">
        <v>163</v>
      </c>
      <c r="K2" s="6">
        <v>95.15</v>
      </c>
      <c r="L2" s="18">
        <v>11</v>
      </c>
      <c r="M2" s="6">
        <f>K2</f>
        <v>95.15</v>
      </c>
      <c r="N2" s="6">
        <v>89.45</v>
      </c>
      <c r="O2" s="6">
        <f>N2</f>
        <v>89.45</v>
      </c>
      <c r="P2" s="6">
        <f t="shared" ref="P2:P10" si="1">L2*O2</f>
        <v>983.95</v>
      </c>
      <c r="Q2" s="7"/>
      <c r="R2" s="26"/>
      <c r="S2" s="7">
        <f t="shared" ref="S2:S11" si="2">(P2-H2)/H2</f>
        <v>-5.9905412506568612E-2</v>
      </c>
      <c r="T2" s="7"/>
    </row>
    <row r="3" spans="1:20" ht="30">
      <c r="A3" s="58" t="s">
        <v>4</v>
      </c>
      <c r="B3" s="59" t="s">
        <v>182</v>
      </c>
      <c r="C3" s="59" t="s">
        <v>183</v>
      </c>
      <c r="D3" s="58" t="s">
        <v>184</v>
      </c>
      <c r="E3" s="58" t="s">
        <v>20</v>
      </c>
      <c r="F3" s="58" t="s">
        <v>21</v>
      </c>
      <c r="G3" s="58" t="s">
        <v>22</v>
      </c>
      <c r="H3" s="6">
        <f t="shared" si="0"/>
        <v>1011.1920280000001</v>
      </c>
      <c r="I3" s="7"/>
      <c r="J3" s="58" t="s">
        <v>185</v>
      </c>
      <c r="K3" s="6">
        <v>41.09</v>
      </c>
      <c r="L3" s="18">
        <v>28</v>
      </c>
      <c r="M3" s="6">
        <f>K3*0.8789</f>
        <v>36.114001000000002</v>
      </c>
      <c r="N3" s="6">
        <v>33.97</v>
      </c>
      <c r="O3" s="6">
        <f>N3*B17</f>
        <v>30.209520999999999</v>
      </c>
      <c r="P3" s="6">
        <f t="shared" si="1"/>
        <v>845.86658799999998</v>
      </c>
      <c r="Q3" s="7"/>
      <c r="R3" s="28"/>
      <c r="S3" s="7">
        <f t="shared" si="2"/>
        <v>-0.16349559274808687</v>
      </c>
      <c r="T3" s="7"/>
    </row>
    <row r="4" spans="1:20">
      <c r="A4" s="58" t="s">
        <v>4</v>
      </c>
      <c r="B4" s="58" t="s">
        <v>186</v>
      </c>
      <c r="C4" s="58" t="s">
        <v>187</v>
      </c>
      <c r="D4" s="58" t="s">
        <v>188</v>
      </c>
      <c r="E4" s="58" t="s">
        <v>10</v>
      </c>
      <c r="F4" s="58" t="s">
        <v>89</v>
      </c>
      <c r="G4" s="58" t="s">
        <v>90</v>
      </c>
      <c r="H4" s="6">
        <f t="shared" si="0"/>
        <v>994.99572000000012</v>
      </c>
      <c r="I4" s="7">
        <f>(H3+H4)/H11</f>
        <v>0.21700081345612954</v>
      </c>
      <c r="J4" s="58" t="s">
        <v>198</v>
      </c>
      <c r="K4" s="6">
        <v>66.45</v>
      </c>
      <c r="L4" s="18">
        <v>17</v>
      </c>
      <c r="M4" s="6">
        <f>K4*0.8808</f>
        <v>58.529160000000005</v>
      </c>
      <c r="N4" s="6">
        <v>70.650000000000006</v>
      </c>
      <c r="O4" s="6">
        <f>N4*B19</f>
        <v>62.949150000000003</v>
      </c>
      <c r="P4" s="6">
        <f t="shared" si="1"/>
        <v>1070.13555</v>
      </c>
      <c r="Q4" s="7"/>
      <c r="R4" s="33"/>
      <c r="S4" s="7">
        <f t="shared" si="2"/>
        <v>7.5517741925563098E-2</v>
      </c>
      <c r="T4" s="7"/>
    </row>
    <row r="5" spans="1:20">
      <c r="A5" s="58" t="s">
        <v>121</v>
      </c>
      <c r="B5" s="58" t="s">
        <v>190</v>
      </c>
      <c r="C5" s="58" t="s">
        <v>189</v>
      </c>
      <c r="D5" s="58" t="s">
        <v>191</v>
      </c>
      <c r="E5" s="58" t="s">
        <v>20</v>
      </c>
      <c r="F5" s="58" t="s">
        <v>21</v>
      </c>
      <c r="G5" s="58" t="s">
        <v>22</v>
      </c>
      <c r="H5" s="6">
        <f t="shared" si="0"/>
        <v>1017.9771360000001</v>
      </c>
      <c r="I5" s="7">
        <f>H5/H11</f>
        <v>0.11011026600673916</v>
      </c>
      <c r="J5" s="58" t="s">
        <v>192</v>
      </c>
      <c r="K5" s="6">
        <v>60.96</v>
      </c>
      <c r="L5" s="18">
        <v>19</v>
      </c>
      <c r="M5" s="6">
        <f>K5*0.8789</f>
        <v>53.577744000000003</v>
      </c>
      <c r="N5" s="6">
        <v>68.94</v>
      </c>
      <c r="O5" s="6">
        <f>N5*B17</f>
        <v>61.308341999999996</v>
      </c>
      <c r="P5" s="6">
        <f t="shared" si="1"/>
        <v>1164.8584979999998</v>
      </c>
      <c r="Q5" s="7"/>
      <c r="R5" s="22"/>
      <c r="S5" s="7">
        <f t="shared" si="2"/>
        <v>0.14428748623682225</v>
      </c>
      <c r="T5" s="7"/>
    </row>
    <row r="6" spans="1:20">
      <c r="A6" s="58" t="s">
        <v>170</v>
      </c>
      <c r="B6" s="58" t="s">
        <v>176</v>
      </c>
      <c r="C6" s="58" t="s">
        <v>171</v>
      </c>
      <c r="D6" s="58" t="s">
        <v>172</v>
      </c>
      <c r="E6" s="58" t="s">
        <v>29</v>
      </c>
      <c r="F6" s="58" t="s">
        <v>108</v>
      </c>
      <c r="G6" s="58" t="s">
        <v>22</v>
      </c>
      <c r="H6" s="6">
        <f t="shared" si="0"/>
        <v>1058.1340770000002</v>
      </c>
      <c r="I6" s="7">
        <f>H6/H11</f>
        <v>0.11445387186895073</v>
      </c>
      <c r="J6" s="58" t="s">
        <v>174</v>
      </c>
      <c r="K6" s="6">
        <v>171.99</v>
      </c>
      <c r="L6" s="18">
        <v>7</v>
      </c>
      <c r="M6" s="6">
        <f>K6*0.8789</f>
        <v>151.16201100000001</v>
      </c>
      <c r="N6" s="6">
        <v>178.02</v>
      </c>
      <c r="O6" s="6">
        <f>N6*B17</f>
        <v>158.313186</v>
      </c>
      <c r="P6" s="6">
        <f t="shared" si="1"/>
        <v>1108.1923019999999</v>
      </c>
      <c r="Q6" s="7"/>
      <c r="R6" s="28"/>
      <c r="S6" s="7">
        <f t="shared" si="2"/>
        <v>4.7308017091675009E-2</v>
      </c>
      <c r="T6" s="7"/>
    </row>
    <row r="7" spans="1:20" ht="30">
      <c r="A7" s="58" t="s">
        <v>26</v>
      </c>
      <c r="B7" s="59" t="s">
        <v>177</v>
      </c>
      <c r="C7" s="58" t="s">
        <v>167</v>
      </c>
      <c r="D7" s="58" t="s">
        <v>168</v>
      </c>
      <c r="E7" s="58" t="s">
        <v>20</v>
      </c>
      <c r="F7" s="58" t="s">
        <v>21</v>
      </c>
      <c r="G7" s="58" t="s">
        <v>22</v>
      </c>
      <c r="H7" s="6">
        <f t="shared" si="0"/>
        <v>1071.2912100000001</v>
      </c>
      <c r="I7" s="7"/>
      <c r="J7" s="58" t="s">
        <v>169</v>
      </c>
      <c r="K7" s="6">
        <v>203.15</v>
      </c>
      <c r="L7" s="18">
        <v>6</v>
      </c>
      <c r="M7" s="6">
        <f>K7*0.8789</f>
        <v>178.54853500000002</v>
      </c>
      <c r="N7" s="6">
        <v>213.14</v>
      </c>
      <c r="O7" s="6">
        <f>N7*B17</f>
        <v>189.545402</v>
      </c>
      <c r="P7" s="6">
        <f t="shared" si="1"/>
        <v>1137.272412</v>
      </c>
      <c r="Q7" s="7"/>
      <c r="R7" s="33"/>
      <c r="S7" s="7">
        <f t="shared" si="2"/>
        <v>6.1590351329401771E-2</v>
      </c>
      <c r="T7" s="7"/>
    </row>
    <row r="8" spans="1:20" ht="30">
      <c r="A8" s="58" t="s">
        <v>26</v>
      </c>
      <c r="B8" s="59" t="s">
        <v>193</v>
      </c>
      <c r="C8" s="58" t="s">
        <v>194</v>
      </c>
      <c r="D8" s="58" t="s">
        <v>195</v>
      </c>
      <c r="E8" s="58" t="s">
        <v>10</v>
      </c>
      <c r="F8" s="58" t="s">
        <v>49</v>
      </c>
      <c r="G8" s="58" t="s">
        <v>50</v>
      </c>
      <c r="H8" s="6">
        <f t="shared" si="0"/>
        <v>1007.8210499999999</v>
      </c>
      <c r="I8" s="7">
        <f>(H7+H8)/H11</f>
        <v>0.22488874839176409</v>
      </c>
      <c r="J8" s="58" t="s">
        <v>196</v>
      </c>
      <c r="K8" s="6">
        <v>181.95</v>
      </c>
      <c r="L8" s="18">
        <v>58</v>
      </c>
      <c r="M8" s="6">
        <f>K8*0.0955</f>
        <v>17.376224999999998</v>
      </c>
      <c r="N8" s="6">
        <v>202.3</v>
      </c>
      <c r="O8" s="6">
        <f>N8*B20</f>
        <v>19.4208</v>
      </c>
      <c r="P8" s="6">
        <f t="shared" si="1"/>
        <v>1126.4064000000001</v>
      </c>
      <c r="Q8" s="7"/>
      <c r="R8" s="33"/>
      <c r="S8" s="7">
        <f t="shared" si="2"/>
        <v>0.11766508548318194</v>
      </c>
      <c r="T8" s="7"/>
    </row>
    <row r="9" spans="1:20" ht="30">
      <c r="A9" s="58" t="s">
        <v>38</v>
      </c>
      <c r="B9" s="59" t="s">
        <v>175</v>
      </c>
      <c r="C9" s="58" t="s">
        <v>179</v>
      </c>
      <c r="D9" s="58" t="s">
        <v>180</v>
      </c>
      <c r="E9" s="58" t="s">
        <v>29</v>
      </c>
      <c r="F9" s="58" t="s">
        <v>108</v>
      </c>
      <c r="G9" s="58" t="s">
        <v>22</v>
      </c>
      <c r="H9" s="6">
        <f t="shared" si="0"/>
        <v>1010.9107800000002</v>
      </c>
      <c r="I9" s="7"/>
      <c r="J9" s="58" t="s">
        <v>181</v>
      </c>
      <c r="K9" s="6">
        <v>42.6</v>
      </c>
      <c r="L9" s="18">
        <v>27</v>
      </c>
      <c r="M9" s="6">
        <f>K9*0.8789</f>
        <v>37.441140000000004</v>
      </c>
      <c r="N9" s="6">
        <v>48.04</v>
      </c>
      <c r="O9" s="6">
        <f>N9*B17</f>
        <v>42.721972000000001</v>
      </c>
      <c r="P9" s="6">
        <f t="shared" si="1"/>
        <v>1153.493244</v>
      </c>
      <c r="Q9" s="7"/>
      <c r="R9" s="28"/>
      <c r="S9" s="7">
        <f t="shared" si="2"/>
        <v>0.14104356865202269</v>
      </c>
      <c r="T9" s="7"/>
    </row>
    <row r="10" spans="1:20" ht="30">
      <c r="A10" s="58" t="s">
        <v>38</v>
      </c>
      <c r="B10" s="59" t="s">
        <v>162</v>
      </c>
      <c r="C10" s="58" t="s">
        <v>161</v>
      </c>
      <c r="D10" s="58" t="s">
        <v>165</v>
      </c>
      <c r="E10" s="58" t="s">
        <v>20</v>
      </c>
      <c r="F10" s="58" t="s">
        <v>21</v>
      </c>
      <c r="G10" s="58" t="s">
        <v>22</v>
      </c>
      <c r="H10" s="6">
        <f t="shared" si="0"/>
        <v>1026.098172</v>
      </c>
      <c r="I10" s="7">
        <f>(H9+H10)/H11</f>
        <v>0.22033461227249898</v>
      </c>
      <c r="J10" s="58" t="s">
        <v>163</v>
      </c>
      <c r="K10" s="6">
        <v>64.86</v>
      </c>
      <c r="L10" s="18">
        <v>18</v>
      </c>
      <c r="M10" s="6">
        <f>K10*0.8789</f>
        <v>57.005454</v>
      </c>
      <c r="N10" s="6">
        <v>56.96</v>
      </c>
      <c r="O10" s="6">
        <f>N10*B17</f>
        <v>50.654527999999999</v>
      </c>
      <c r="P10" s="6">
        <f t="shared" si="1"/>
        <v>911.78150400000004</v>
      </c>
      <c r="Q10" s="7"/>
      <c r="R10" s="33"/>
      <c r="S10" s="7">
        <f t="shared" si="2"/>
        <v>-0.11140909429473181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9501.9564979999996</v>
      </c>
      <c r="Q11" s="12"/>
      <c r="R11" s="11"/>
      <c r="S11" s="12">
        <f t="shared" si="2"/>
        <v>2.7786303423659203E-2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7" t="s">
        <v>197</v>
      </c>
      <c r="K13" s="15">
        <v>2131.0500000000002</v>
      </c>
      <c r="L13" s="20"/>
      <c r="M13" s="15"/>
      <c r="N13" s="15">
        <f>'170830_langfr_Geldanlage'!N14</f>
        <v>2131.71</v>
      </c>
      <c r="O13" s="15"/>
      <c r="P13" s="15"/>
      <c r="Q13" s="16"/>
      <c r="R13" s="24" t="s">
        <v>64</v>
      </c>
      <c r="S13" s="16">
        <f>(N13-K13)/K13</f>
        <v>3.0970648271971769E-4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0.88929999999999998</v>
      </c>
    </row>
    <row r="18" spans="1:3">
      <c r="A18" s="35" t="s">
        <v>120</v>
      </c>
      <c r="B18" s="1">
        <f>'170830_langfr_Geldanlage'!B19</f>
        <v>1.1700999999999999</v>
      </c>
    </row>
    <row r="19" spans="1:3">
      <c r="A19" s="61" t="s">
        <v>90</v>
      </c>
      <c r="B19" s="35">
        <f>'171004_langfr_Geldanlage'!B18</f>
        <v>0.89100000000000001</v>
      </c>
    </row>
    <row r="20" spans="1:3">
      <c r="A20" s="61" t="s">
        <v>50</v>
      </c>
      <c r="B20" s="1">
        <f>'170830_langfr_Geldanlage'!B22</f>
        <v>9.6000000000000002E-2</v>
      </c>
    </row>
    <row r="23" spans="1:3">
      <c r="A23" s="48" t="s">
        <v>125</v>
      </c>
      <c r="B23" s="49">
        <f>'170830_langfr_Geldanlage'!B25</f>
        <v>43559</v>
      </c>
      <c r="C23" s="55" t="str">
        <f>'171004_langfr_Geldanlage'!C22</f>
        <v>ca. 21 Uhr</v>
      </c>
    </row>
    <row r="24" spans="1:3">
      <c r="A24" s="48" t="s">
        <v>126</v>
      </c>
      <c r="B24" s="2">
        <v>0.67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8" t="s">
        <v>231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 customHeight="1">
      <c r="A2" s="66" t="s">
        <v>4</v>
      </c>
      <c r="B2" s="65" t="s">
        <v>221</v>
      </c>
      <c r="C2" s="66" t="s">
        <v>222</v>
      </c>
      <c r="D2" s="66" t="s">
        <v>223</v>
      </c>
      <c r="E2" s="66" t="s">
        <v>10</v>
      </c>
      <c r="F2" s="66" t="s">
        <v>112</v>
      </c>
      <c r="G2" s="58" t="s">
        <v>16</v>
      </c>
      <c r="H2" s="6">
        <f t="shared" ref="H2:H10" si="0">M2*L2</f>
        <v>1033.3399999999999</v>
      </c>
      <c r="I2" s="7"/>
      <c r="J2" s="66" t="s">
        <v>224</v>
      </c>
      <c r="K2" s="6">
        <v>93.94</v>
      </c>
      <c r="L2" s="18">
        <v>11</v>
      </c>
      <c r="M2" s="6">
        <f>K2</f>
        <v>93.94</v>
      </c>
      <c r="N2" s="6">
        <v>109.33</v>
      </c>
      <c r="O2" s="6">
        <f>N2</f>
        <v>109.33</v>
      </c>
      <c r="P2" s="6">
        <f t="shared" ref="P2:P10" si="1">L2*O2</f>
        <v>1202.6299999999999</v>
      </c>
      <c r="Q2" s="7"/>
      <c r="R2" s="26"/>
      <c r="S2" s="7">
        <f t="shared" ref="S2:S11" si="2">(P2-H2)/H2</f>
        <v>0.16382797530338511</v>
      </c>
      <c r="T2" s="7"/>
    </row>
    <row r="3" spans="1:20">
      <c r="A3" s="58" t="s">
        <v>4</v>
      </c>
      <c r="B3" s="65" t="s">
        <v>212</v>
      </c>
      <c r="C3" s="65" t="s">
        <v>213</v>
      </c>
      <c r="D3" s="66" t="s">
        <v>214</v>
      </c>
      <c r="E3" s="66" t="s">
        <v>10</v>
      </c>
      <c r="F3" s="66" t="s">
        <v>15</v>
      </c>
      <c r="G3" s="66" t="s">
        <v>16</v>
      </c>
      <c r="H3" s="6">
        <f t="shared" si="0"/>
        <v>1014.7500000000001</v>
      </c>
      <c r="I3" s="7">
        <f>(H2+H3)/H11</f>
        <v>0.22135271582297517</v>
      </c>
      <c r="J3" s="66" t="s">
        <v>215</v>
      </c>
      <c r="K3" s="6">
        <v>67.650000000000006</v>
      </c>
      <c r="L3" s="18">
        <v>15</v>
      </c>
      <c r="M3" s="6">
        <f>K3</f>
        <v>67.650000000000006</v>
      </c>
      <c r="N3" s="6">
        <v>69.28</v>
      </c>
      <c r="O3" s="6">
        <f>N3</f>
        <v>69.28</v>
      </c>
      <c r="P3" s="6">
        <f t="shared" si="1"/>
        <v>1039.2</v>
      </c>
      <c r="Q3" s="7"/>
      <c r="R3" s="28"/>
      <c r="S3" s="7">
        <f t="shared" si="2"/>
        <v>2.409460458240939E-2</v>
      </c>
      <c r="T3" s="7"/>
    </row>
    <row r="4" spans="1:20">
      <c r="A4" s="64" t="s">
        <v>121</v>
      </c>
      <c r="B4" s="64" t="s">
        <v>208</v>
      </c>
      <c r="C4" s="64" t="s">
        <v>207</v>
      </c>
      <c r="D4" s="74" t="s">
        <v>248</v>
      </c>
      <c r="E4" s="64" t="s">
        <v>10</v>
      </c>
      <c r="F4" s="64" t="s">
        <v>34</v>
      </c>
      <c r="G4" s="64" t="s">
        <v>118</v>
      </c>
      <c r="H4" s="6">
        <f t="shared" si="0"/>
        <v>1024.740288</v>
      </c>
      <c r="I4" s="7">
        <f>(H4)/H11</f>
        <v>0.11075150299157639</v>
      </c>
      <c r="J4" s="66" t="s">
        <v>229</v>
      </c>
      <c r="K4" s="6">
        <v>41.47</v>
      </c>
      <c r="L4" s="18">
        <v>22</v>
      </c>
      <c r="M4" s="6">
        <f>K4*1.1232</f>
        <v>46.579104000000001</v>
      </c>
      <c r="N4" s="6">
        <v>47.47</v>
      </c>
      <c r="O4" s="6">
        <f>N4*B18</f>
        <v>55.544646999999998</v>
      </c>
      <c r="P4" s="6">
        <f t="shared" si="1"/>
        <v>1221.9822340000001</v>
      </c>
      <c r="Q4" s="7"/>
      <c r="R4" s="33"/>
      <c r="S4" s="7">
        <f t="shared" si="2"/>
        <v>0.1924799369262235</v>
      </c>
      <c r="T4" s="7"/>
    </row>
    <row r="5" spans="1:20">
      <c r="A5" s="58" t="s">
        <v>121</v>
      </c>
      <c r="B5" s="64" t="s">
        <v>203</v>
      </c>
      <c r="C5" s="64" t="s">
        <v>204</v>
      </c>
      <c r="D5" s="64" t="s">
        <v>205</v>
      </c>
      <c r="E5" s="58" t="s">
        <v>20</v>
      </c>
      <c r="F5" s="58" t="s">
        <v>21</v>
      </c>
      <c r="G5" s="58" t="s">
        <v>22</v>
      </c>
      <c r="H5" s="6">
        <f t="shared" si="0"/>
        <v>1045.1644920000001</v>
      </c>
      <c r="I5" s="7">
        <f>H5/H11</f>
        <v>0.11295890258042381</v>
      </c>
      <c r="J5" s="64" t="s">
        <v>206</v>
      </c>
      <c r="K5" s="6">
        <v>66.39</v>
      </c>
      <c r="L5" s="18">
        <v>18</v>
      </c>
      <c r="M5" s="6">
        <f>K5*0.8746</f>
        <v>58.064694000000003</v>
      </c>
      <c r="N5" s="6">
        <v>66.34</v>
      </c>
      <c r="O5" s="6">
        <f>N5*B17</f>
        <v>58.996161999999998</v>
      </c>
      <c r="P5" s="6">
        <f t="shared" si="1"/>
        <v>1061.930916</v>
      </c>
      <c r="Q5" s="7"/>
      <c r="R5" s="22"/>
      <c r="S5" s="7">
        <f t="shared" si="2"/>
        <v>1.6041899747202579E-2</v>
      </c>
      <c r="T5" s="7"/>
    </row>
    <row r="6" spans="1:20">
      <c r="A6" s="58" t="s">
        <v>170</v>
      </c>
      <c r="B6" s="66" t="s">
        <v>217</v>
      </c>
      <c r="C6" s="66" t="s">
        <v>218</v>
      </c>
      <c r="D6" s="66" t="s">
        <v>219</v>
      </c>
      <c r="E6" s="66" t="s">
        <v>10</v>
      </c>
      <c r="F6" s="66" t="s">
        <v>112</v>
      </c>
      <c r="G6" s="66" t="s">
        <v>16</v>
      </c>
      <c r="H6" s="6">
        <f t="shared" si="0"/>
        <v>1020.6</v>
      </c>
      <c r="I6" s="7">
        <f>H6/H11</f>
        <v>0.1103040304717705</v>
      </c>
      <c r="J6" s="66" t="s">
        <v>220</v>
      </c>
      <c r="K6" s="6">
        <v>255.15</v>
      </c>
      <c r="L6" s="18">
        <v>4</v>
      </c>
      <c r="M6" s="6">
        <f>K6</f>
        <v>255.15</v>
      </c>
      <c r="N6" s="6">
        <v>333.8</v>
      </c>
      <c r="O6" s="6">
        <f>N6</f>
        <v>333.8</v>
      </c>
      <c r="P6" s="6">
        <f t="shared" si="1"/>
        <v>1335.2</v>
      </c>
      <c r="Q6" s="7"/>
      <c r="R6" s="28"/>
      <c r="S6" s="7">
        <f t="shared" si="2"/>
        <v>0.30825004899078973</v>
      </c>
      <c r="T6" s="7"/>
    </row>
    <row r="7" spans="1:20" ht="30" customHeight="1">
      <c r="A7" s="58" t="s">
        <v>26</v>
      </c>
      <c r="B7" s="63" t="s">
        <v>202</v>
      </c>
      <c r="C7" s="64" t="s">
        <v>142</v>
      </c>
      <c r="D7" s="64" t="s">
        <v>148</v>
      </c>
      <c r="E7" s="64" t="s">
        <v>10</v>
      </c>
      <c r="F7" s="64" t="s">
        <v>15</v>
      </c>
      <c r="G7" s="64" t="s">
        <v>16</v>
      </c>
      <c r="H7" s="6">
        <f t="shared" si="0"/>
        <v>1027</v>
      </c>
      <c r="I7" s="7"/>
      <c r="J7" s="66" t="s">
        <v>230</v>
      </c>
      <c r="K7" s="6">
        <v>513.5</v>
      </c>
      <c r="L7" s="18">
        <v>2</v>
      </c>
      <c r="M7" s="6">
        <f>K7</f>
        <v>513.5</v>
      </c>
      <c r="N7" s="6">
        <v>559</v>
      </c>
      <c r="O7" s="6">
        <f>N7</f>
        <v>559</v>
      </c>
      <c r="P7" s="6">
        <f t="shared" si="1"/>
        <v>1118</v>
      </c>
      <c r="Q7" s="7"/>
      <c r="R7" s="33"/>
      <c r="S7" s="7">
        <f t="shared" si="2"/>
        <v>8.8607594936708861E-2</v>
      </c>
      <c r="T7" s="7"/>
    </row>
    <row r="8" spans="1:20" ht="30">
      <c r="A8" s="58" t="s">
        <v>26</v>
      </c>
      <c r="B8" s="63" t="s">
        <v>199</v>
      </c>
      <c r="C8" s="64" t="s">
        <v>200</v>
      </c>
      <c r="D8" s="64" t="s">
        <v>201</v>
      </c>
      <c r="E8" s="58" t="s">
        <v>10</v>
      </c>
      <c r="F8" s="64" t="s">
        <v>89</v>
      </c>
      <c r="G8" s="64" t="s">
        <v>90</v>
      </c>
      <c r="H8" s="6">
        <f t="shared" si="0"/>
        <v>1049.1519000000001</v>
      </c>
      <c r="I8" s="7">
        <f>(H7+H8)/H11</f>
        <v>0.22438557950384497</v>
      </c>
      <c r="J8" s="66" t="s">
        <v>233</v>
      </c>
      <c r="K8" s="6">
        <v>198.5</v>
      </c>
      <c r="L8" s="18">
        <v>6</v>
      </c>
      <c r="M8" s="6">
        <f>K8*0.8809</f>
        <v>174.85865000000001</v>
      </c>
      <c r="N8" s="6">
        <v>214.8</v>
      </c>
      <c r="O8" s="6">
        <f>N8*B19</f>
        <v>191.38680000000002</v>
      </c>
      <c r="P8" s="6">
        <f t="shared" si="1"/>
        <v>1148.3208000000002</v>
      </c>
      <c r="Q8" s="7"/>
      <c r="R8" s="33"/>
      <c r="S8" s="7">
        <f t="shared" si="2"/>
        <v>9.4522918940527209E-2</v>
      </c>
      <c r="T8" s="7"/>
    </row>
    <row r="9" spans="1:20">
      <c r="A9" s="64" t="s">
        <v>46</v>
      </c>
      <c r="B9" s="63" t="s">
        <v>209</v>
      </c>
      <c r="C9" s="64" t="s">
        <v>210</v>
      </c>
      <c r="D9" s="64" t="s">
        <v>211</v>
      </c>
      <c r="E9" s="64" t="s">
        <v>20</v>
      </c>
      <c r="F9" s="64" t="s">
        <v>21</v>
      </c>
      <c r="G9" s="58" t="s">
        <v>22</v>
      </c>
      <c r="H9" s="6">
        <f t="shared" si="0"/>
        <v>1085.3436160000001</v>
      </c>
      <c r="I9" s="7">
        <f>(H9)/H11</f>
        <v>0.11730136712875326</v>
      </c>
      <c r="J9" s="66" t="s">
        <v>234</v>
      </c>
      <c r="K9" s="6">
        <v>177.28</v>
      </c>
      <c r="L9" s="18">
        <v>7</v>
      </c>
      <c r="M9" s="6">
        <f>K9*0.8746</f>
        <v>155.04908800000001</v>
      </c>
      <c r="N9" s="6">
        <v>213.51</v>
      </c>
      <c r="O9" s="6">
        <f>N9*B17</f>
        <v>189.87444299999999</v>
      </c>
      <c r="P9" s="6">
        <f t="shared" si="1"/>
        <v>1329.121101</v>
      </c>
      <c r="Q9" s="7"/>
      <c r="R9" s="28"/>
      <c r="S9" s="7">
        <f t="shared" si="2"/>
        <v>0.22460857686566962</v>
      </c>
      <c r="T9" s="7"/>
    </row>
    <row r="10" spans="1:20">
      <c r="A10" s="58" t="s">
        <v>38</v>
      </c>
      <c r="B10" s="65" t="s">
        <v>225</v>
      </c>
      <c r="C10" s="66" t="s">
        <v>216</v>
      </c>
      <c r="D10" s="66" t="s">
        <v>226</v>
      </c>
      <c r="E10" s="66" t="s">
        <v>20</v>
      </c>
      <c r="F10" s="66" t="s">
        <v>21</v>
      </c>
      <c r="G10" s="58" t="s">
        <v>22</v>
      </c>
      <c r="H10" s="6">
        <f t="shared" si="0"/>
        <v>952.5181140000002</v>
      </c>
      <c r="I10" s="7">
        <f>H10/H11</f>
        <v>0.10294590150065587</v>
      </c>
      <c r="J10" s="66" t="s">
        <v>227</v>
      </c>
      <c r="K10" s="6">
        <v>121.01</v>
      </c>
      <c r="L10" s="18">
        <v>9</v>
      </c>
      <c r="M10" s="6">
        <f>K10*0.8746</f>
        <v>105.83534600000002</v>
      </c>
      <c r="N10" s="6">
        <v>162.41</v>
      </c>
      <c r="O10" s="6">
        <f>N10*B17</f>
        <v>144.43121299999999</v>
      </c>
      <c r="P10" s="6">
        <f t="shared" si="1"/>
        <v>1299.880917</v>
      </c>
      <c r="Q10" s="7"/>
      <c r="R10" s="33"/>
      <c r="S10" s="7">
        <f t="shared" si="2"/>
        <v>0.36467842227302744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10756.265968000002</v>
      </c>
      <c r="Q11" s="12"/>
      <c r="R11" s="11"/>
      <c r="S11" s="12">
        <f t="shared" si="2"/>
        <v>0.1625117471063493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7" t="s">
        <v>228</v>
      </c>
      <c r="K13" s="15">
        <v>2009.6</v>
      </c>
      <c r="L13" s="20"/>
      <c r="M13" s="15"/>
      <c r="N13" s="15">
        <f>'170830_langfr_Geldanlage'!N14</f>
        <v>2131.71</v>
      </c>
      <c r="O13" s="15"/>
      <c r="P13" s="15"/>
      <c r="Q13" s="16"/>
      <c r="R13" s="24" t="s">
        <v>64</v>
      </c>
      <c r="S13" s="16">
        <f>(N13-K13)/K13</f>
        <v>6.0763335987261212E-2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0.88929999999999998</v>
      </c>
    </row>
    <row r="18" spans="1:3">
      <c r="A18" s="35" t="s">
        <v>120</v>
      </c>
      <c r="B18" s="1">
        <f>'170830_langfr_Geldanlage'!B19</f>
        <v>1.1700999999999999</v>
      </c>
    </row>
    <row r="19" spans="1:3">
      <c r="A19" s="61" t="s">
        <v>90</v>
      </c>
      <c r="B19" s="35">
        <f>'171004_langfr_Geldanlage'!B18</f>
        <v>0.89100000000000001</v>
      </c>
    </row>
    <row r="20" spans="1:3">
      <c r="A20" s="61" t="s">
        <v>50</v>
      </c>
      <c r="B20" s="1">
        <f>'170830_langfr_Geldanlage'!B22</f>
        <v>9.6000000000000002E-2</v>
      </c>
    </row>
    <row r="23" spans="1:3">
      <c r="A23" s="48" t="s">
        <v>125</v>
      </c>
      <c r="B23" s="49">
        <f>'170830_langfr_Geldanlage'!B25</f>
        <v>43559</v>
      </c>
      <c r="C23" s="69" t="s">
        <v>232</v>
      </c>
    </row>
    <row r="24" spans="1:3">
      <c r="A24" s="48" t="s">
        <v>126</v>
      </c>
      <c r="B24" s="2">
        <v>0.33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4" sqref="S4"/>
    </sheetView>
  </sheetViews>
  <sheetFormatPr baseColWidth="10" defaultRowHeight="15" x14ac:dyDescent="0"/>
  <cols>
    <col min="1" max="1" width="19" style="35" bestFit="1" customWidth="1"/>
    <col min="2" max="2" width="43.1640625" style="35" bestFit="1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71" t="s">
        <v>238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70" t="s">
        <v>235</v>
      </c>
      <c r="C2" s="70" t="s">
        <v>236</v>
      </c>
      <c r="D2" s="70" t="s">
        <v>237</v>
      </c>
      <c r="E2" s="70" t="s">
        <v>20</v>
      </c>
      <c r="F2" s="70" t="s">
        <v>21</v>
      </c>
      <c r="G2" s="70" t="s">
        <v>22</v>
      </c>
      <c r="H2" s="33">
        <f t="shared" ref="H2:H5" si="0">L2*M2</f>
        <v>780.05989599999987</v>
      </c>
      <c r="I2" s="31">
        <f>(H2)/H6</f>
        <v>0.200457239617016</v>
      </c>
      <c r="J2" s="73" t="s">
        <v>75</v>
      </c>
      <c r="K2" s="33">
        <v>63.08</v>
      </c>
      <c r="L2" s="36">
        <v>14</v>
      </c>
      <c r="M2" s="33">
        <f>K2*0.8833</f>
        <v>55.718563999999994</v>
      </c>
      <c r="N2" s="33">
        <v>60.39</v>
      </c>
      <c r="O2" s="33">
        <f>N2*B11</f>
        <v>53.704827000000002</v>
      </c>
      <c r="P2" s="33">
        <f t="shared" ref="P2:P5" si="1">L2*O2</f>
        <v>751.86757799999998</v>
      </c>
      <c r="Q2" s="31"/>
      <c r="R2" s="29"/>
      <c r="S2" s="31">
        <f t="shared" ref="S2:S6" si="2">(P2-H2)/H2</f>
        <v>-3.6141222160714553E-2</v>
      </c>
      <c r="T2" s="31"/>
    </row>
    <row r="3" spans="1:20">
      <c r="A3" s="70" t="s">
        <v>26</v>
      </c>
      <c r="B3" s="70" t="s">
        <v>239</v>
      </c>
      <c r="C3" s="72" t="s">
        <v>240</v>
      </c>
      <c r="D3" s="70" t="s">
        <v>241</v>
      </c>
      <c r="E3" s="70" t="s">
        <v>10</v>
      </c>
      <c r="F3" s="70" t="s">
        <v>119</v>
      </c>
      <c r="G3" s="70" t="s">
        <v>16</v>
      </c>
      <c r="H3" s="33">
        <f t="shared" si="0"/>
        <v>1010.4</v>
      </c>
      <c r="I3" s="31">
        <f>(H3)/H6</f>
        <v>0.25964928584026709</v>
      </c>
      <c r="J3" s="73" t="s">
        <v>53</v>
      </c>
      <c r="K3" s="33">
        <v>63.15</v>
      </c>
      <c r="L3" s="36">
        <v>16</v>
      </c>
      <c r="M3" s="33">
        <f>K3</f>
        <v>63.15</v>
      </c>
      <c r="N3" s="33">
        <v>62.65</v>
      </c>
      <c r="O3" s="33">
        <f>N3</f>
        <v>62.65</v>
      </c>
      <c r="P3" s="33">
        <f t="shared" si="1"/>
        <v>1002.4</v>
      </c>
      <c r="Q3" s="31">
        <f>(P2+P3)/P6</f>
        <v>0.43871458721739348</v>
      </c>
      <c r="R3" s="33"/>
      <c r="S3" s="31">
        <f t="shared" si="2"/>
        <v>-7.9176563737133818E-3</v>
      </c>
      <c r="T3" s="31"/>
    </row>
    <row r="4" spans="1:20">
      <c r="A4" s="70" t="s">
        <v>46</v>
      </c>
      <c r="B4" s="70" t="s">
        <v>242</v>
      </c>
      <c r="C4" s="72" t="s">
        <v>156</v>
      </c>
      <c r="D4" s="70" t="s">
        <v>157</v>
      </c>
      <c r="E4" s="70" t="s">
        <v>10</v>
      </c>
      <c r="F4" s="70" t="s">
        <v>243</v>
      </c>
      <c r="G4" s="70" t="s">
        <v>16</v>
      </c>
      <c r="H4" s="33">
        <f t="shared" si="0"/>
        <v>1007.4000000000001</v>
      </c>
      <c r="I4" s="31">
        <f>(H4)/H6</f>
        <v>0.25887835565665585</v>
      </c>
      <c r="J4" s="73" t="s">
        <v>53</v>
      </c>
      <c r="K4" s="33">
        <v>335.8</v>
      </c>
      <c r="L4" s="36">
        <v>3</v>
      </c>
      <c r="M4" s="33">
        <f>K4</f>
        <v>335.8</v>
      </c>
      <c r="N4" s="33">
        <v>383.4</v>
      </c>
      <c r="O4" s="33">
        <f>N4</f>
        <v>383.4</v>
      </c>
      <c r="P4" s="33">
        <f t="shared" si="1"/>
        <v>1150.1999999999998</v>
      </c>
      <c r="Q4" s="31">
        <f>(P4)/P6</f>
        <v>0.28764683594776325</v>
      </c>
      <c r="R4" s="33"/>
      <c r="S4" s="31">
        <f t="shared" si="2"/>
        <v>0.14175104228707536</v>
      </c>
      <c r="T4" s="31"/>
    </row>
    <row r="5" spans="1:20">
      <c r="A5" s="70" t="s">
        <v>38</v>
      </c>
      <c r="B5" s="70" t="s">
        <v>244</v>
      </c>
      <c r="C5" s="72" t="s">
        <v>245</v>
      </c>
      <c r="D5" s="70" t="s">
        <v>246</v>
      </c>
      <c r="E5" s="70" t="s">
        <v>29</v>
      </c>
      <c r="F5" s="70" t="s">
        <v>247</v>
      </c>
      <c r="G5" s="29" t="s">
        <v>22</v>
      </c>
      <c r="H5" s="33">
        <f t="shared" si="0"/>
        <v>1093.543066</v>
      </c>
      <c r="I5" s="31">
        <f>(H5)/H6</f>
        <v>0.28101511888606101</v>
      </c>
      <c r="J5" s="73" t="s">
        <v>53</v>
      </c>
      <c r="K5" s="33">
        <v>176.86</v>
      </c>
      <c r="L5" s="36">
        <v>7</v>
      </c>
      <c r="M5" s="33">
        <f>K5*0.8833</f>
        <v>156.220438</v>
      </c>
      <c r="N5" s="33">
        <v>175.77</v>
      </c>
      <c r="O5" s="33">
        <f>N5*B11</f>
        <v>156.31226100000001</v>
      </c>
      <c r="P5" s="33">
        <f t="shared" si="1"/>
        <v>1094.185827</v>
      </c>
      <c r="Q5" s="31">
        <f>(P5)/P6</f>
        <v>0.27363857683484322</v>
      </c>
      <c r="R5" s="33"/>
      <c r="S5" s="31">
        <f t="shared" si="2"/>
        <v>5.877784057935439E-4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3891.4029620000001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3998.653405</v>
      </c>
      <c r="Q6" s="12">
        <f>SUM(Q2:Q5)</f>
        <v>1</v>
      </c>
      <c r="R6" s="11"/>
      <c r="S6" s="12">
        <f t="shared" si="2"/>
        <v>2.7560867904792407E-2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1952.83</v>
      </c>
      <c r="L8" s="43"/>
      <c r="M8" s="41"/>
      <c r="N8" s="41">
        <f>'170830_langfr_Geldanlage'!N14</f>
        <v>2131.71</v>
      </c>
      <c r="O8" s="41"/>
      <c r="P8" s="41"/>
      <c r="Q8" s="42"/>
      <c r="R8" s="41" t="s">
        <v>64</v>
      </c>
      <c r="S8" s="42">
        <f>(N8-K8)/K8</f>
        <v>9.1600395323709755E-2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0.88929999999999998</v>
      </c>
    </row>
    <row r="12" spans="1:20">
      <c r="A12" s="35" t="s">
        <v>118</v>
      </c>
      <c r="B12" s="35">
        <f>'170830_langfr_Geldanlage'!B19</f>
        <v>1.1700999999999999</v>
      </c>
    </row>
    <row r="14" spans="1:20">
      <c r="A14" s="48" t="s">
        <v>125</v>
      </c>
      <c r="B14" s="49">
        <f>'170830_langfr_Geldanlage'!B25</f>
        <v>43559</v>
      </c>
      <c r="C14" s="56" t="str">
        <f>'170830_langfr_Geldanlage'!C25</f>
        <v>ca. 21 Uhr</v>
      </c>
      <c r="K14" s="44">
        <v>21.024999999999999</v>
      </c>
    </row>
    <row r="15" spans="1:20">
      <c r="A15" s="48" t="s">
        <v>126</v>
      </c>
      <c r="B15" s="44">
        <v>0.25</v>
      </c>
      <c r="K15" s="44">
        <v>63.074999999999996</v>
      </c>
    </row>
  </sheetData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  <vt:lpstr>181212_2019_Empfehlungsliste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2019-04-03T19:57:57Z</dcterms:modified>
</cp:coreProperties>
</file>