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  <sheet name="181212_2019_Empfehlungsliste" sheetId="10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0" l="1"/>
  <c r="O4" i="10"/>
  <c r="M4" i="10"/>
  <c r="O3" i="10"/>
  <c r="M3" i="10"/>
  <c r="B11" i="10"/>
  <c r="O2" i="10"/>
  <c r="M2" i="10"/>
  <c r="N13" i="9"/>
  <c r="H2" i="10"/>
  <c r="H3" i="10"/>
  <c r="H4" i="10"/>
  <c r="H5" i="10"/>
  <c r="H6" i="10"/>
  <c r="I2" i="10"/>
  <c r="I3" i="10"/>
  <c r="C14" i="10"/>
  <c r="B14" i="10"/>
  <c r="B12" i="10"/>
  <c r="N8" i="10"/>
  <c r="S8" i="10"/>
  <c r="P2" i="10"/>
  <c r="P3" i="10"/>
  <c r="P4" i="10"/>
  <c r="O5" i="10"/>
  <c r="P5" i="10"/>
  <c r="P6" i="10"/>
  <c r="S6" i="10"/>
  <c r="Q3" i="10"/>
  <c r="Q4" i="10"/>
  <c r="Q5" i="10"/>
  <c r="Q6" i="10"/>
  <c r="I4" i="10"/>
  <c r="I5" i="10"/>
  <c r="I6" i="10"/>
  <c r="S5" i="10"/>
  <c r="S4" i="10"/>
  <c r="S3" i="10"/>
  <c r="S2" i="10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H11" i="9"/>
  <c r="I10" i="9"/>
  <c r="O6" i="9"/>
  <c r="M6" i="9"/>
  <c r="O3" i="9"/>
  <c r="M3" i="9"/>
  <c r="H3" i="9"/>
  <c r="H6" i="9"/>
  <c r="I3" i="9"/>
  <c r="I9" i="9"/>
  <c r="B18" i="9"/>
  <c r="O4" i="9"/>
  <c r="I4" i="9"/>
  <c r="O7" i="9"/>
  <c r="B19" i="9"/>
  <c r="O8" i="9"/>
  <c r="B23" i="9"/>
  <c r="B20" i="9"/>
  <c r="B17" i="9"/>
  <c r="S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S11" i="9"/>
  <c r="I5" i="9"/>
  <c r="I6" i="9"/>
  <c r="I8" i="9"/>
  <c r="I11" i="9"/>
  <c r="S10" i="9"/>
  <c r="S9" i="9"/>
  <c r="S8" i="9"/>
  <c r="S7" i="9"/>
  <c r="S6" i="9"/>
  <c r="S5" i="9"/>
  <c r="S4" i="9"/>
  <c r="S3" i="9"/>
  <c r="S2" i="9"/>
  <c r="B20" i="7"/>
  <c r="N13" i="7"/>
  <c r="I10" i="7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<sst xmlns="http://schemas.openxmlformats.org/spreadsheetml/2006/main" count="598" uniqueCount="250">
  <si>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</si>
  <si>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</si>
  <si>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</si>
  <si>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</si>
  <si>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</si>
  <si>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</si>
  <si>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</si>
  <si>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</si>
  <si>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</si>
  <si>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</si>
  <si>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</si>
  <si>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</si>
  <si>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</si>
  <si>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</si>
  <si>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</si>
  <si>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</si>
  <si>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</si>
  <si>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</si>
  <si>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</si>
  <si>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</si>
  <si>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</si>
  <si>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</si>
  <si>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</si>
  <si>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</si>
  <si>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</si>
  <si>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</si>
  <si>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</si>
  <si>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</si>
  <si>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</si>
  <si>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</si>
  <si>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</si>
  <si>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</si>
  <si>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</si>
  <si>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</si>
  <si>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</si>
  <si>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</si>
  <si>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</si>
  <si>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</si>
  <si>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</si>
  <si>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</si>
  <si>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</si>
  <si>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</si>
  <si>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</si>
  <si>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</si>
  <si>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</si>
  <si>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</si>
  <si>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</si>
  <si>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</si>
  <si>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</si>
  <si>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</si>
  <si>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</si>
  <si>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</si>
  <si>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</si>
  <si>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</si>
  <si>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</si>
  <si>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</si>
  <si>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</si>
  <si>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</si>
  <si>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</si>
  <si>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</si>
  <si>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</si>
  <si>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</si>
  <si>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</si>
  <si>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</si>
  <si>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</si>
  <si>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</si>
  <si>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</si>
  <si>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</si>
  <si>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</si>
  <si>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</si>
  <si>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</si>
  <si>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</si>
  <si>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</si>
  <si>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</si>
  <si>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</si>
  <si>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</si>
  <si>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</si>
  <si>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</si>
  <si>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</si>
  <si>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</si>
  <si>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</si>
  <si>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</si>
  <si>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</si>
  <si>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</si>
  <si>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</si>
  <si>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</si>
  <si>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</si>
  <si>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</si>
  <si>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</si>
  <si>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</si>
  <si>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</si>
  <si>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</si>
  <si>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</si>
  <si>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</si>
  <si>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</si>
  <si>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</si>
  <si>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</si>
  <si>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</si>
  <si>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</si>
  <si>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</si>
  <si>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</si>
  <si>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</si>
  <si>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</si>
  <si>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</si>
  <si>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</si>
  <si>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</si>
  <si>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</si>
  <si>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</si>
  <si>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</si>
  <si>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</si>
  <si>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</si>
  <si>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</si>
  <si>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</si>
  <si>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</si>
  <si>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</si>
  <si>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</si>
  <si>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</si>
  <si>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</si>
  <si>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GBP</t>
  </si>
  <si>
    <t>DE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</si>
  <si>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</si>
  <si>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</si>
  <si>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</si>
  <si>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</si>
  <si>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</si>
  <si>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</si>
  <si>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</si>
  <si>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</si>
  <si>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</si>
  <si>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</si>
  <si>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</si>
  <si>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</si>
  <si>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</si>
  <si>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</si>
  <si>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</si>
  <si>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</si>
  <si>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</si>
  <si>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</si>
  <si>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</si>
  <si>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</si>
  <si>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</si>
  <si>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</si>
  <si>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</si>
  <si>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</si>
  <si>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</si>
  <si>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</si>
  <si>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</si>
  <si>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</si>
  <si>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</si>
  <si>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</si>
  <si>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</si>
  <si>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</si>
  <si>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</si>
  <si>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</si>
  <si>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</si>
  <si>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</si>
  <si>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</si>
  <si>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</si>
  <si>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</si>
  <si>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</si>
  <si>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</si>
  <si>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</si>
  <si>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</si>
  <si>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</si>
  <si>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</si>
  <si>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</si>
  <si>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</si>
  <si>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</si>
  <si>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</si>
  <si>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</si>
  <si>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</si>
  <si>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</si>
  <si>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</si>
  <si>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</si>
  <si>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</si>
  <si>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</si>
  <si>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</si>
  <si>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</si>
  <si>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</si>
  <si>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</si>
  <si>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</si>
  <si>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</si>
  <si>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</si>
  <si>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</si>
  <si>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</si>
  <si>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</si>
  <si>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</si>
  <si>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</si>
  <si>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</si>
  <si>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</si>
  <si>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</si>
  <si>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</si>
  <si>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</si>
  <si>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</si>
  <si>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</si>
  <si>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</si>
  <si>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</si>
  <si>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</si>
  <si>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</si>
  <si>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</si>
  <si>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</si>
  <si>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</si>
  <si>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</si>
  <si>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</si>
  <si>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</si>
  <si>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</si>
  <si>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</si>
  <si>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</si>
  <si>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</si>
  <si>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</si>
  <si>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</si>
  <si>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</si>
  <si>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</si>
  <si>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</si>
  <si>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</si>
  <si>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</si>
  <si>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</si>
  <si>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</si>
  <si>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</si>
  <si>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</si>
  <si>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</si>
  <si>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</si>
  <si>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</si>
  <si>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</si>
  <si>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</si>
  <si>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</si>
  <si>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</si>
  <si>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</si>
  <si>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</si>
  <si>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</si>
  <si>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</si>
  <si>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</si>
  <si>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</si>
  <si>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</si>
  <si>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</si>
  <si>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Medizintechnik Geräte Zahnt. Tiergesundh.</t>
  </si>
  <si>
    <t>Henry Schein</t>
  </si>
  <si>
    <t>897961 US</t>
  </si>
  <si>
    <r>
      <t>Wert 31.12.201</t>
    </r>
    <r>
      <rPr>
        <sz val="12"/>
        <color theme="1"/>
        <rFont val="Calibri"/>
        <family val="2"/>
        <charset val="204"/>
        <scheme val="minor"/>
      </rPr>
      <t>8</t>
    </r>
  </si>
  <si>
    <t>Verkehr Hersteller</t>
  </si>
  <si>
    <t>BMW</t>
  </si>
  <si>
    <t>519003 DE</t>
  </si>
  <si>
    <t>Sonstige Dienstl. Kontrollen Analyse Prüf- Abnahme</t>
  </si>
  <si>
    <t>FR</t>
  </si>
  <si>
    <t>Internet Neue Technologien Suchmaschine</t>
  </si>
  <si>
    <t>Baidu</t>
  </si>
  <si>
    <t>A0F5DE CN</t>
  </si>
  <si>
    <t>CN</t>
  </si>
  <si>
    <t>A2PA4R GB</t>
  </si>
  <si>
    <t>16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</si>
</sst>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8">
    <xf numFmtId="0" fontId="0" fillId="0" borderId="0"/>
    <xf numFmtId="0" fontId="1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15" fillId="0" borderId="0" xfId="0" applyFont="1"/>
    <xf numFmtId="4" fontId="15" fillId="0" borderId="0" xfId="0" applyNumberFormat="1" applyFont="1"/>
    <xf numFmtId="10" fontId="15" fillId="0" borderId="0" xfId="0" applyNumberFormat="1" applyFont="1"/>
    <xf numFmtId="0" fontId="17" fillId="0" borderId="0" xfId="0" applyFont="1"/>
    <xf numFmtId="0" fontId="15" fillId="0" borderId="1" xfId="0" applyFont="1" applyBorder="1"/>
    <xf numFmtId="4" fontId="15" fillId="0" borderId="1" xfId="0" applyNumberFormat="1" applyFont="1" applyBorder="1"/>
    <xf numFmtId="10" fontId="15" fillId="0" borderId="1" xfId="0" applyNumberFormat="1" applyFont="1" applyBorder="1"/>
    <xf numFmtId="4" fontId="15" fillId="0" borderId="1" xfId="0" applyNumberFormat="1" applyFont="1" applyBorder="1" applyAlignment="1">
      <alignment wrapText="1"/>
    </xf>
    <xf numFmtId="10" fontId="15" fillId="0" borderId="1" xfId="0" applyNumberFormat="1" applyFont="1" applyBorder="1" applyAlignment="1">
      <alignment wrapText="1"/>
    </xf>
    <xf numFmtId="0" fontId="17" fillId="0" borderId="1" xfId="0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0" fontId="14" fillId="2" borderId="0" xfId="0" applyFont="1" applyFill="1"/>
    <xf numFmtId="0" fontId="15" fillId="2" borderId="0" xfId="0" applyFont="1" applyFill="1"/>
    <xf numFmtId="4" fontId="15" fillId="2" borderId="0" xfId="0" applyNumberFormat="1" applyFont="1" applyFill="1"/>
    <xf numFmtId="10" fontId="15" fillId="2" borderId="0" xfId="0" applyNumberFormat="1" applyFont="1" applyFill="1"/>
    <xf numFmtId="1" fontId="13" fillId="0" borderId="1" xfId="0" applyNumberFormat="1" applyFont="1" applyBorder="1" applyAlignment="1">
      <alignment wrapText="1"/>
    </xf>
    <xf numFmtId="1" fontId="15" fillId="0" borderId="1" xfId="0" applyNumberFormat="1" applyFont="1" applyBorder="1"/>
    <xf numFmtId="1" fontId="17" fillId="0" borderId="1" xfId="0" applyNumberFormat="1" applyFont="1" applyBorder="1"/>
    <xf numFmtId="1" fontId="15" fillId="2" borderId="0" xfId="0" applyNumberFormat="1" applyFont="1" applyFill="1"/>
    <xf numFmtId="1" fontId="15" fillId="0" borderId="0" xfId="0" applyNumberFormat="1" applyFont="1"/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4" fontId="12" fillId="2" borderId="0" xfId="0" applyNumberFormat="1" applyFont="1" applyFill="1"/>
    <xf numFmtId="4" fontId="12" fillId="0" borderId="1" xfId="0" applyNumberFormat="1" applyFont="1" applyBorder="1" applyAlignment="1">
      <alignment wrapText="1"/>
    </xf>
    <xf numFmtId="4" fontId="12" fillId="0" borderId="1" xfId="0" applyNumberFormat="1" applyFont="1" applyBorder="1"/>
    <xf numFmtId="0" fontId="12" fillId="2" borderId="0" xfId="0" applyFont="1" applyFill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wrapText="1"/>
    </xf>
    <xf numFmtId="0" fontId="10" fillId="0" borderId="0" xfId="0" applyFont="1"/>
    <xf numFmtId="1" fontId="10" fillId="0" borderId="1" xfId="0" applyNumberFormat="1" applyFont="1" applyBorder="1"/>
    <xf numFmtId="0" fontId="10" fillId="0" borderId="1" xfId="0" applyFont="1" applyFill="1" applyBorder="1"/>
    <xf numFmtId="0" fontId="21" fillId="0" borderId="1" xfId="0" applyFont="1" applyBorder="1"/>
    <xf numFmtId="0" fontId="0" fillId="0" borderId="1" xfId="0" applyFont="1" applyBorder="1" applyAlignment="1">
      <alignment wrapText="1"/>
    </xf>
    <xf numFmtId="0" fontId="10" fillId="2" borderId="0" xfId="0" applyFont="1" applyFill="1"/>
    <xf numFmtId="4" fontId="10" fillId="2" borderId="0" xfId="0" applyNumberFormat="1" applyFont="1" applyFill="1"/>
    <xf numFmtId="10" fontId="10" fillId="2" borderId="0" xfId="0" applyNumberFormat="1" applyFont="1" applyFill="1"/>
    <xf numFmtId="1" fontId="10" fillId="2" borderId="0" xfId="0" applyNumberFormat="1" applyFont="1" applyFill="1"/>
    <xf numFmtId="4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4" fontId="9" fillId="0" borderId="1" xfId="0" applyNumberFormat="1" applyFont="1" applyBorder="1" applyAlignment="1">
      <alignment wrapText="1"/>
    </xf>
    <xf numFmtId="0" fontId="9" fillId="0" borderId="0" xfId="0" applyFont="1"/>
    <xf numFmtId="14" fontId="15" fillId="0" borderId="0" xfId="0" applyNumberFormat="1" applyFont="1"/>
    <xf numFmtId="0" fontId="9" fillId="2" borderId="0" xfId="0" applyFont="1" applyFill="1"/>
    <xf numFmtId="0" fontId="9" fillId="0" borderId="1" xfId="0" applyFont="1" applyBorder="1"/>
    <xf numFmtId="4" fontId="9" fillId="0" borderId="0" xfId="0" applyNumberFormat="1" applyFont="1"/>
    <xf numFmtId="10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22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0" xfId="0" applyFont="1"/>
    <xf numFmtId="10" fontId="17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2" borderId="0" xfId="0" applyFont="1" applyFill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0" fontId="4" fillId="0" borderId="1" xfId="0" applyFont="1" applyBorder="1"/>
    <xf numFmtId="4" fontId="4" fillId="0" borderId="1" xfId="0" applyNumberFormat="1" applyFont="1" applyBorder="1" applyAlignment="1">
      <alignment wrapText="1"/>
    </xf>
    <xf numFmtId="0" fontId="4" fillId="0" borderId="1" xfId="0" applyFont="1" applyFill="1" applyBorder="1"/>
    <xf numFmtId="0" fontId="3" fillId="0" borderId="1" xfId="0" applyFont="1" applyBorder="1"/>
    <xf numFmtId="0" fontId="2" fillId="0" borderId="1" xfId="0" applyFont="1" applyBorder="1"/>
  </cellXfs>
  <cellStyles count="248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2" sqref="S12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9" t="s">
        <v>70</v>
      </c>
      <c r="S1" s="23" t="s">
        <v>74</v>
      </c>
      <c r="T1" s="53" t="s">
        <v>154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40.484999999999999</v>
      </c>
      <c r="O2" s="6">
        <f>N2</f>
        <v>40.484999999999999</v>
      </c>
      <c r="P2" s="6">
        <f t="shared" ref="P2:P11" si="1">L2*O2</f>
        <v>890.67</v>
      </c>
      <c r="Q2" s="7"/>
      <c r="R2" s="7">
        <f t="shared" ref="R2:R12" si="2">(P2-H2)/H2</f>
        <v>-0.10845628716141821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84.64</v>
      </c>
      <c r="O3" s="6">
        <f>N3</f>
        <v>84.64</v>
      </c>
      <c r="P3" s="6">
        <f t="shared" si="1"/>
        <v>1354.24</v>
      </c>
      <c r="Q3" s="7">
        <f>(P2+P3)/P12</f>
        <v>0.1822055147555387</v>
      </c>
      <c r="R3" s="7">
        <f t="shared" si="2"/>
        <v>0.37402597402597398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136.46</v>
      </c>
      <c r="O4" s="6">
        <f>N4</f>
        <v>136.46</v>
      </c>
      <c r="P4" s="6">
        <f t="shared" si="1"/>
        <v>1228.1400000000001</v>
      </c>
      <c r="Q4" s="7"/>
      <c r="R4" s="7">
        <f t="shared" si="2"/>
        <v>0.20473205614902462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22.46</v>
      </c>
      <c r="O5" s="6">
        <f>N5*B19</f>
        <v>26.426436000000002</v>
      </c>
      <c r="P5" s="6">
        <f t="shared" si="1"/>
        <v>1057.05744</v>
      </c>
      <c r="Q5" s="7">
        <f>(P4+P5)/P12</f>
        <v>0.18547539806639876</v>
      </c>
      <c r="R5" s="7">
        <f t="shared" si="2"/>
        <v>6.3866183574879248E-2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96.91</v>
      </c>
      <c r="O6" s="6">
        <f>N6*B21</f>
        <v>64.532369000000003</v>
      </c>
      <c r="P6" s="6">
        <f t="shared" si="1"/>
        <v>1548.776856</v>
      </c>
      <c r="Q6" s="7"/>
      <c r="R6" s="7">
        <f t="shared" si="2"/>
        <v>0.53941719942748079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44.71</v>
      </c>
      <c r="O7" s="6">
        <f>N7*B18</f>
        <v>39.939442999999997</v>
      </c>
      <c r="P7" s="6">
        <f t="shared" si="1"/>
        <v>1278.0621759999999</v>
      </c>
      <c r="Q7" s="7">
        <f>(P6+P7)/P12</f>
        <v>0.22943710926344876</v>
      </c>
      <c r="R7" s="7">
        <f t="shared" si="2"/>
        <v>0.28795366010964191</v>
      </c>
      <c r="S7" s="7"/>
      <c r="T7" s="7">
        <v>0.03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185</v>
      </c>
      <c r="O8" s="6">
        <f>N8*B18</f>
        <v>165.26050000000001</v>
      </c>
      <c r="P8" s="6">
        <f t="shared" si="1"/>
        <v>1487.3445000000002</v>
      </c>
      <c r="Q8" s="7"/>
      <c r="R8" s="7">
        <f t="shared" si="2"/>
        <v>0.50387205387205403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85.7</v>
      </c>
      <c r="O9" s="6">
        <f>N9*B18</f>
        <v>76.555810000000008</v>
      </c>
      <c r="P9" s="6">
        <f t="shared" si="1"/>
        <v>1760.7836300000001</v>
      </c>
      <c r="Q9" s="7">
        <f>(P8+P9)/P12</f>
        <v>0.26363054996351543</v>
      </c>
      <c r="R9" s="7">
        <f t="shared" si="2"/>
        <v>0.73242385155012479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53.76</v>
      </c>
      <c r="O10" s="6">
        <f>N10*B18</f>
        <v>48.023807999999995</v>
      </c>
      <c r="P10" s="6">
        <f t="shared" si="1"/>
        <v>864.42854399999987</v>
      </c>
      <c r="Q10" s="7">
        <f>P10/P12</f>
        <v>7.0160339536507396E-2</v>
      </c>
      <c r="R10" s="7">
        <f t="shared" si="2"/>
        <v>-0.10520201229737301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245.8</v>
      </c>
      <c r="O11" s="6">
        <f>N11*B22</f>
        <v>23.006880000000002</v>
      </c>
      <c r="P11" s="6">
        <f t="shared" si="1"/>
        <v>851.25456000000008</v>
      </c>
      <c r="Q11" s="7">
        <f>P11/P12</f>
        <v>6.9091088414591065E-2</v>
      </c>
      <c r="R11" s="7">
        <f t="shared" si="2"/>
        <v>-0.14217449664429524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12320.757705999999</v>
      </c>
      <c r="Q12" s="12"/>
      <c r="R12" s="12">
        <f t="shared" si="2"/>
        <v>0.23704498028580795</v>
      </c>
      <c r="S12" s="12">
        <v>0.1358</v>
      </c>
      <c r="T12" s="12">
        <f>AVERAGE(T2:T11)</f>
        <v>1.8800000000000001E-2</v>
      </c>
    </row>
    <row r="13" spans="1:20">
      <c r="S13" s="6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2177.7600000000002</v>
      </c>
      <c r="O14" s="15"/>
      <c r="P14" s="15"/>
      <c r="Q14" s="16"/>
      <c r="R14" s="16">
        <f>(N14-K14)/K14</f>
        <v>0.11821640744943608</v>
      </c>
      <c r="S14" s="16">
        <v>6.9199999999999998E-2</v>
      </c>
    </row>
    <row r="17" spans="1:3">
      <c r="A17" s="35" t="s">
        <v>117</v>
      </c>
      <c r="B17" s="48" t="s">
        <v>151</v>
      </c>
    </row>
    <row r="18" spans="1:3">
      <c r="A18" s="35" t="s">
        <v>22</v>
      </c>
      <c r="B18" s="35">
        <v>0.89329999999999998</v>
      </c>
    </row>
    <row r="19" spans="1:3">
      <c r="A19" s="35" t="s">
        <v>120</v>
      </c>
      <c r="B19" s="1">
        <v>1.1766000000000001</v>
      </c>
    </row>
    <row r="20" spans="1:3">
      <c r="A20" s="35" t="s">
        <v>31</v>
      </c>
      <c r="B20" s="35">
        <v>8.0000000000000002E-3</v>
      </c>
    </row>
    <row r="21" spans="1:3">
      <c r="A21" s="35" t="s">
        <v>42</v>
      </c>
      <c r="B21" s="1">
        <v>0.66590000000000005</v>
      </c>
    </row>
    <row r="22" spans="1:3">
      <c r="A22" s="35" t="s">
        <v>50</v>
      </c>
      <c r="B22" s="35">
        <v>9.3600000000000003E-2</v>
      </c>
    </row>
    <row r="25" spans="1:3">
      <c r="A25" s="48" t="s">
        <v>125</v>
      </c>
      <c r="B25" s="49">
        <v>43589</v>
      </c>
      <c r="C25" s="56" t="s">
        <v>249</v>
      </c>
    </row>
    <row r="26" spans="1:3">
      <c r="A26" s="48" t="s">
        <v>126</v>
      </c>
      <c r="B26" s="2">
        <v>1.67</v>
      </c>
    </row>
    <row r="29" spans="1:3">
      <c r="A29" s="48" t="s">
        <v>152</v>
      </c>
    </row>
    <row r="30" spans="1:3">
      <c r="A30" s="48" t="s">
        <v>153</v>
      </c>
      <c r="B30" s="52">
        <v>1.2</v>
      </c>
    </row>
    <row r="31" spans="1:3">
      <c r="A31" s="48"/>
    </row>
  </sheetData>
  <phoneticPr fontId="20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2" sqref="T12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701.3</v>
      </c>
      <c r="O2" s="33">
        <f>N2*B19</f>
        <v>93.90406999999999</v>
      </c>
      <c r="P2" s="33">
        <f t="shared" ref="P2:P11" si="1">L2*O2</f>
        <v>1314.6569799999997</v>
      </c>
      <c r="Q2" s="31"/>
      <c r="R2" s="29"/>
      <c r="S2" s="31">
        <f t="shared" ref="S2:S12" si="2">(P2-H2)/H2</f>
        <v>0.30001349795765481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310</v>
      </c>
      <c r="O3" s="33">
        <f>N3</f>
        <v>310</v>
      </c>
      <c r="P3" s="33">
        <f t="shared" si="1"/>
        <v>620</v>
      </c>
      <c r="Q3" s="31">
        <f>(P2+P3)/P12</f>
        <v>0.15424595172615543</v>
      </c>
      <c r="R3" s="33"/>
      <c r="S3" s="31">
        <f t="shared" si="2"/>
        <v>-0.25570406793741185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461.6</v>
      </c>
      <c r="O4" s="33">
        <f>N4*B18</f>
        <v>405.42328000000003</v>
      </c>
      <c r="P4" s="33">
        <f t="shared" si="1"/>
        <v>1216.2698400000002</v>
      </c>
      <c r="Q4" s="31"/>
      <c r="R4" s="33"/>
      <c r="S4" s="31">
        <f t="shared" si="2"/>
        <v>9.6555782932232111E-3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56</v>
      </c>
      <c r="O5" s="33">
        <f>N5</f>
        <v>56</v>
      </c>
      <c r="P5" s="33">
        <f t="shared" si="1"/>
        <v>1008</v>
      </c>
      <c r="Q5" s="31"/>
      <c r="R5" s="33"/>
      <c r="S5" s="31">
        <f t="shared" si="2"/>
        <v>3.6211905334640936E-2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478.35</v>
      </c>
      <c r="O6" s="33">
        <f>N6*B17</f>
        <v>427.31005500000003</v>
      </c>
      <c r="P6" s="33">
        <f t="shared" si="1"/>
        <v>1709.2402200000001</v>
      </c>
      <c r="Q6" s="31">
        <f>(P4+P5+P6)/P12</f>
        <v>0.31361011750470974</v>
      </c>
      <c r="R6" s="33"/>
      <c r="S6" s="31">
        <f t="shared" si="2"/>
        <v>0.91238645444644206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1962.46</v>
      </c>
      <c r="O7" s="33">
        <f>N7*B17</f>
        <v>1753.0655180000001</v>
      </c>
      <c r="P7" s="33">
        <f t="shared" si="1"/>
        <v>1753.0655180000001</v>
      </c>
      <c r="Q7" s="31"/>
      <c r="R7" s="33"/>
      <c r="S7" s="31">
        <f t="shared" si="2"/>
        <v>1.1333238876738039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74.34</v>
      </c>
      <c r="O8" s="33">
        <f>N8*B17</f>
        <v>66.407921999999999</v>
      </c>
      <c r="P8" s="33">
        <f t="shared" si="1"/>
        <v>1660.19805</v>
      </c>
      <c r="Q8" s="31">
        <f>(P7+P8)/P12</f>
        <v>0.27213200736927184</v>
      </c>
      <c r="R8" s="33"/>
      <c r="S8" s="31">
        <f t="shared" si="2"/>
        <v>0.64001338032003852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285.44</v>
      </c>
      <c r="O9" s="33">
        <f>N9*B17</f>
        <v>254.983552</v>
      </c>
      <c r="P9" s="33">
        <f t="shared" si="1"/>
        <v>1019.934208</v>
      </c>
      <c r="Q9" s="31">
        <f>(P9)/P12</f>
        <v>8.1317114215783415E-2</v>
      </c>
      <c r="R9" s="33"/>
      <c r="S9" s="31">
        <f t="shared" si="2"/>
        <v>0.10706507863350083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101.95</v>
      </c>
      <c r="O10" s="33">
        <f>N10</f>
        <v>101.95</v>
      </c>
      <c r="P10" s="33">
        <f t="shared" si="1"/>
        <v>1019.5</v>
      </c>
      <c r="Q10" s="31">
        <f>(P10)/P12</f>
        <v>8.1282495765639798E-2</v>
      </c>
      <c r="R10" s="33"/>
      <c r="S10" s="31">
        <f t="shared" si="2"/>
        <v>-3.5933806146572107E-2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54.71</v>
      </c>
      <c r="O11" s="33">
        <f>N11*B17</f>
        <v>48.872442999999997</v>
      </c>
      <c r="P11" s="33">
        <f t="shared" si="1"/>
        <v>1221.8110749999998</v>
      </c>
      <c r="Q11" s="31">
        <f>(P11)/P12</f>
        <v>9.7412313418439728E-2</v>
      </c>
      <c r="R11" s="33"/>
      <c r="S11" s="31">
        <f t="shared" si="2"/>
        <v>0.22132178296070124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12542.675891000001</v>
      </c>
      <c r="Q12" s="12">
        <f>SUM(Q2:Q11)</f>
        <v>0.99999999999999989</v>
      </c>
      <c r="R12" s="11"/>
      <c r="S12" s="12">
        <f t="shared" si="2"/>
        <v>0.28924362508958501</v>
      </c>
      <c r="T12" s="12">
        <v>0.1744</v>
      </c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2177.7600000000002</v>
      </c>
      <c r="O14" s="41"/>
      <c r="P14" s="41"/>
      <c r="Q14" s="42"/>
      <c r="R14" s="41" t="s">
        <v>64</v>
      </c>
      <c r="S14" s="42">
        <f>(N14-K14)/K14</f>
        <v>8.2952998240629197E-2</v>
      </c>
      <c r="T14" s="42">
        <v>5.1700000000000003E-2</v>
      </c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0.89329999999999998</v>
      </c>
    </row>
    <row r="18" spans="1:3">
      <c r="A18" s="35" t="s">
        <v>90</v>
      </c>
      <c r="B18" s="35">
        <v>0.87829999999999997</v>
      </c>
    </row>
    <row r="19" spans="1:3">
      <c r="A19" s="35" t="s">
        <v>83</v>
      </c>
      <c r="B19" s="35">
        <v>0.13389999999999999</v>
      </c>
    </row>
    <row r="22" spans="1:3">
      <c r="A22" s="48" t="s">
        <v>125</v>
      </c>
      <c r="B22" s="49">
        <f>'170830_langfr_Geldanlage'!B25</f>
        <v>43589</v>
      </c>
      <c r="C22" s="56" t="str">
        <f>'170830_langfr_Geldanlage'!C25</f>
        <v>16 Uhr</v>
      </c>
    </row>
    <row r="23" spans="1:3">
      <c r="A23" s="48" t="s">
        <v>126</v>
      </c>
      <c r="B23" s="44">
        <v>1.58</v>
      </c>
    </row>
  </sheetData>
  <phoneticPr fontId="20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2" sqref="T12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132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1" t="s">
        <v>128</v>
      </c>
      <c r="B2" s="51" t="s">
        <v>129</v>
      </c>
      <c r="C2" s="51" t="s">
        <v>130</v>
      </c>
      <c r="D2" s="51" t="s">
        <v>131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49.22</v>
      </c>
      <c r="O2" s="6">
        <f>N2*B21</f>
        <v>32.775598000000002</v>
      </c>
      <c r="P2" s="6">
        <f t="shared" ref="P2:P11" si="1">L2*O2</f>
        <v>1311.0239200000001</v>
      </c>
      <c r="Q2" s="7"/>
      <c r="R2" s="33"/>
      <c r="S2" s="7">
        <f>(P2-H2)/H2</f>
        <v>0.27811960001884295</v>
      </c>
      <c r="T2" s="7"/>
    </row>
    <row r="3" spans="1:20">
      <c r="A3" s="51" t="s">
        <v>133</v>
      </c>
      <c r="B3" s="51" t="s">
        <v>134</v>
      </c>
      <c r="C3" s="51" t="s">
        <v>135</v>
      </c>
      <c r="D3" s="51" t="s">
        <v>136</v>
      </c>
      <c r="E3" s="51" t="s">
        <v>29</v>
      </c>
      <c r="F3" s="51" t="s">
        <v>137</v>
      </c>
      <c r="G3" s="51" t="s">
        <v>16</v>
      </c>
      <c r="H3" s="6">
        <f t="shared" si="0"/>
        <v>946.80000000000007</v>
      </c>
      <c r="I3" s="7"/>
      <c r="J3" s="51" t="s">
        <v>138</v>
      </c>
      <c r="K3" s="6">
        <v>78.900000000000006</v>
      </c>
      <c r="L3" s="18">
        <v>12</v>
      </c>
      <c r="M3" s="6">
        <f>K3</f>
        <v>78.900000000000006</v>
      </c>
      <c r="N3" s="6">
        <v>107</v>
      </c>
      <c r="O3" s="6">
        <f>N3</f>
        <v>107</v>
      </c>
      <c r="P3" s="6">
        <f t="shared" si="1"/>
        <v>1284</v>
      </c>
      <c r="Q3" s="7"/>
      <c r="R3" s="26"/>
      <c r="S3" s="7">
        <f t="shared" ref="S3:S12" si="2">(P3-H3)/H3</f>
        <v>0.35614702154626099</v>
      </c>
      <c r="T3" s="7"/>
    </row>
    <row r="4" spans="1:20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40.484999999999999</v>
      </c>
      <c r="O4" s="6">
        <f>N4</f>
        <v>40.484999999999999</v>
      </c>
      <c r="P4" s="6">
        <f t="shared" si="1"/>
        <v>1012.125</v>
      </c>
      <c r="Q4" s="7"/>
      <c r="R4" s="28"/>
      <c r="S4" s="7">
        <f t="shared" si="2"/>
        <v>2.4418016194331867E-2</v>
      </c>
      <c r="T4" s="7"/>
    </row>
    <row r="5" spans="1:20">
      <c r="A5" s="51" t="s">
        <v>17</v>
      </c>
      <c r="B5" s="51" t="s">
        <v>139</v>
      </c>
      <c r="C5" s="51" t="s">
        <v>140</v>
      </c>
      <c r="D5" s="51" t="s">
        <v>141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91.18</v>
      </c>
      <c r="O5" s="6">
        <f>N5</f>
        <v>91.18</v>
      </c>
      <c r="P5" s="6">
        <f t="shared" si="1"/>
        <v>911.80000000000007</v>
      </c>
      <c r="Q5" s="7"/>
      <c r="R5" s="33"/>
      <c r="S5" s="7">
        <f t="shared" si="2"/>
        <v>-0.14625468164794</v>
      </c>
      <c r="T5" s="7"/>
    </row>
    <row r="6" spans="1:20">
      <c r="A6" s="51" t="s">
        <v>25</v>
      </c>
      <c r="B6" s="51" t="s">
        <v>146</v>
      </c>
      <c r="C6" s="51" t="s">
        <v>144</v>
      </c>
      <c r="D6" s="51" t="s">
        <v>145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211.4</v>
      </c>
      <c r="O6" s="6">
        <f>N6*B18</f>
        <v>188.84362000000002</v>
      </c>
      <c r="P6" s="6">
        <f t="shared" si="1"/>
        <v>1133.0617200000002</v>
      </c>
      <c r="Q6" s="7"/>
      <c r="R6" s="22"/>
      <c r="S6" s="7">
        <f t="shared" si="2"/>
        <v>7.6095840487223926E-2</v>
      </c>
      <c r="T6" s="7"/>
    </row>
    <row r="7" spans="1:20">
      <c r="A7" s="51" t="s">
        <v>26</v>
      </c>
      <c r="B7" s="51" t="s">
        <v>147</v>
      </c>
      <c r="C7" s="51" t="s">
        <v>142</v>
      </c>
      <c r="D7" s="51" t="s">
        <v>148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149</v>
      </c>
      <c r="K7" s="6">
        <v>507.5</v>
      </c>
      <c r="L7" s="18">
        <v>2</v>
      </c>
      <c r="M7" s="6">
        <f>K7</f>
        <v>507.5</v>
      </c>
      <c r="N7" s="6">
        <v>597</v>
      </c>
      <c r="O7" s="6">
        <f>N7</f>
        <v>597</v>
      </c>
      <c r="P7" s="6">
        <f t="shared" si="1"/>
        <v>1194</v>
      </c>
      <c r="Q7" s="7"/>
      <c r="R7" s="28"/>
      <c r="S7" s="7">
        <f t="shared" si="2"/>
        <v>0.17635467980295566</v>
      </c>
      <c r="T7" s="7"/>
    </row>
    <row r="8" spans="1:20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150</v>
      </c>
      <c r="G8" s="51" t="s">
        <v>118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22.46</v>
      </c>
      <c r="O8" s="6">
        <f>N8*B19</f>
        <v>26.426436000000002</v>
      </c>
      <c r="P8" s="6">
        <f t="shared" si="1"/>
        <v>1242.042492</v>
      </c>
      <c r="Q8" s="7"/>
      <c r="R8" s="33"/>
      <c r="S8" s="7">
        <f t="shared" si="2"/>
        <v>0.21140774662898562</v>
      </c>
      <c r="T8" s="7"/>
    </row>
    <row r="9" spans="1:20">
      <c r="A9" s="51" t="s">
        <v>46</v>
      </c>
      <c r="B9" s="51" t="s">
        <v>155</v>
      </c>
      <c r="C9" s="51" t="s">
        <v>156</v>
      </c>
      <c r="D9" s="51" t="s">
        <v>157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398.8</v>
      </c>
      <c r="O9" s="6">
        <f>N9</f>
        <v>398.8</v>
      </c>
      <c r="P9" s="6">
        <f t="shared" si="1"/>
        <v>797.6</v>
      </c>
      <c r="Q9" s="7"/>
      <c r="R9" s="33"/>
      <c r="S9" s="7">
        <f t="shared" si="2"/>
        <v>-0.12119876597620097</v>
      </c>
      <c r="T9" s="7"/>
    </row>
    <row r="10" spans="1:20">
      <c r="A10" s="51" t="s">
        <v>38</v>
      </c>
      <c r="B10" s="51" t="s">
        <v>158</v>
      </c>
      <c r="C10" s="51" t="s">
        <v>143</v>
      </c>
      <c r="D10" s="51" t="s">
        <v>159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160</v>
      </c>
      <c r="K10" s="6">
        <v>43.61</v>
      </c>
      <c r="L10" s="18">
        <v>28</v>
      </c>
      <c r="M10" s="6">
        <f>K10*0.8114</f>
        <v>35.385154</v>
      </c>
      <c r="N10" s="6">
        <v>54.94</v>
      </c>
      <c r="O10" s="6">
        <f>N10*B18</f>
        <v>49.077901999999995</v>
      </c>
      <c r="P10" s="6">
        <f t="shared" si="1"/>
        <v>1374.1812559999998</v>
      </c>
      <c r="Q10" s="7"/>
      <c r="R10" s="28"/>
      <c r="S10" s="7">
        <f t="shared" si="2"/>
        <v>0.38696307496641091</v>
      </c>
      <c r="T10" s="7"/>
    </row>
    <row r="11" spans="1:20" ht="30">
      <c r="A11" s="51" t="s">
        <v>38</v>
      </c>
      <c r="B11" s="54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285.44</v>
      </c>
      <c r="O11" s="6">
        <f>N11*B18</f>
        <v>254.983552</v>
      </c>
      <c r="P11" s="6">
        <f t="shared" si="1"/>
        <v>1019.934208</v>
      </c>
      <c r="Q11" s="7"/>
      <c r="R11" s="33"/>
      <c r="S11" s="7">
        <f t="shared" si="2"/>
        <v>0.10523461522320415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11279.768596000002</v>
      </c>
      <c r="Q12" s="12"/>
      <c r="R12" s="11"/>
      <c r="S12" s="12">
        <f t="shared" si="2"/>
        <v>0.13444590327190217</v>
      </c>
      <c r="T12" s="12">
        <v>0.1138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127</v>
      </c>
      <c r="K14" s="15">
        <v>2089.9699999999998</v>
      </c>
      <c r="L14" s="20"/>
      <c r="M14" s="15"/>
      <c r="N14" s="15">
        <f>'170830_langfr_Geldanlage'!N14</f>
        <v>2177.7600000000002</v>
      </c>
      <c r="O14" s="15"/>
      <c r="P14" s="15"/>
      <c r="Q14" s="16"/>
      <c r="R14" s="24" t="s">
        <v>64</v>
      </c>
      <c r="S14" s="16">
        <f>(N14-K14)/K14</f>
        <v>4.2005387637143322E-2</v>
      </c>
      <c r="T14" s="16">
        <v>3.5799999999999998E-2</v>
      </c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0.89329999999999998</v>
      </c>
    </row>
    <row r="19" spans="1:3">
      <c r="A19" s="35" t="s">
        <v>120</v>
      </c>
      <c r="B19" s="1">
        <f>'170830_langfr_Geldanlage'!B19</f>
        <v>1.1766000000000001</v>
      </c>
    </row>
    <row r="20" spans="1:3">
      <c r="A20" s="48" t="s">
        <v>14</v>
      </c>
      <c r="B20" s="35">
        <v>0.62729999999999997</v>
      </c>
    </row>
    <row r="21" spans="1:3">
      <c r="A21" s="35" t="s">
        <v>42</v>
      </c>
      <c r="B21" s="1">
        <f>'170830_langfr_Geldanlage'!B21</f>
        <v>0.66590000000000005</v>
      </c>
    </row>
    <row r="24" spans="1:3">
      <c r="A24" s="48" t="s">
        <v>125</v>
      </c>
      <c r="B24" s="49">
        <f>'170830_langfr_Geldanlage'!B25</f>
        <v>43589</v>
      </c>
      <c r="C24" s="55" t="str">
        <f>'171004_langfr_Geldanlage'!C22</f>
        <v>16 Uhr</v>
      </c>
    </row>
    <row r="25" spans="1:3">
      <c r="A25" s="48" t="s">
        <v>126</v>
      </c>
      <c r="B25" s="2">
        <v>1.17</v>
      </c>
    </row>
  </sheetData>
  <phoneticPr fontId="20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1" sqref="T11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0" t="s">
        <v>173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58" t="s">
        <v>133</v>
      </c>
      <c r="B2" s="59" t="s">
        <v>178</v>
      </c>
      <c r="C2" s="58" t="s">
        <v>164</v>
      </c>
      <c r="D2" s="58" t="s">
        <v>166</v>
      </c>
      <c r="E2" s="58" t="s">
        <v>10</v>
      </c>
      <c r="F2" s="58" t="s">
        <v>15</v>
      </c>
      <c r="G2" s="58" t="s">
        <v>16</v>
      </c>
      <c r="H2" s="6">
        <f t="shared" ref="H2:H10" si="0">M2*L2</f>
        <v>1046.6500000000001</v>
      </c>
      <c r="I2" s="7">
        <f>H2/H11</f>
        <v>0.11321168800391755</v>
      </c>
      <c r="J2" s="58" t="s">
        <v>163</v>
      </c>
      <c r="K2" s="6">
        <v>95.15</v>
      </c>
      <c r="L2" s="18">
        <v>11</v>
      </c>
      <c r="M2" s="6">
        <f>K2</f>
        <v>95.15</v>
      </c>
      <c r="N2" s="6">
        <v>92.95</v>
      </c>
      <c r="O2" s="6">
        <f>N2</f>
        <v>92.95</v>
      </c>
      <c r="P2" s="6">
        <f t="shared" ref="P2:P10" si="1">L2*O2</f>
        <v>1022.45</v>
      </c>
      <c r="Q2" s="7"/>
      <c r="R2" s="26"/>
      <c r="S2" s="7">
        <f t="shared" ref="S2:S11" si="2">(P2-H2)/H2</f>
        <v>-2.3121387283237035E-2</v>
      </c>
      <c r="T2" s="7"/>
    </row>
    <row r="3" spans="1:20" ht="30">
      <c r="A3" s="58" t="s">
        <v>4</v>
      </c>
      <c r="B3" s="59" t="s">
        <v>182</v>
      </c>
      <c r="C3" s="59" t="s">
        <v>183</v>
      </c>
      <c r="D3" s="58" t="s">
        <v>184</v>
      </c>
      <c r="E3" s="58" t="s">
        <v>20</v>
      </c>
      <c r="F3" s="58" t="s">
        <v>21</v>
      </c>
      <c r="G3" s="58" t="s">
        <v>22</v>
      </c>
      <c r="H3" s="6">
        <f t="shared" si="0"/>
        <v>1011.1920280000001</v>
      </c>
      <c r="I3" s="7"/>
      <c r="J3" s="58" t="s">
        <v>185</v>
      </c>
      <c r="K3" s="6">
        <v>41.09</v>
      </c>
      <c r="L3" s="18">
        <v>28</v>
      </c>
      <c r="M3" s="6">
        <f>K3*0.8789</f>
        <v>36.114001000000002</v>
      </c>
      <c r="N3" s="6">
        <v>34.07</v>
      </c>
      <c r="O3" s="6">
        <f>N3*B17</f>
        <v>30.434730999999999</v>
      </c>
      <c r="P3" s="6">
        <f t="shared" si="1"/>
        <v>852.17246799999998</v>
      </c>
      <c r="Q3" s="7"/>
      <c r="R3" s="28"/>
      <c r="S3" s="7">
        <f t="shared" si="2"/>
        <v>-0.15725950719223833</v>
      </c>
      <c r="T3" s="7"/>
    </row>
    <row r="4" spans="1:20">
      <c r="A4" s="58" t="s">
        <v>4</v>
      </c>
      <c r="B4" s="58" t="s">
        <v>186</v>
      </c>
      <c r="C4" s="58" t="s">
        <v>187</v>
      </c>
      <c r="D4" s="58" t="s">
        <v>188</v>
      </c>
      <c r="E4" s="58" t="s">
        <v>10</v>
      </c>
      <c r="F4" s="58" t="s">
        <v>89</v>
      </c>
      <c r="G4" s="58" t="s">
        <v>90</v>
      </c>
      <c r="H4" s="6">
        <f t="shared" si="0"/>
        <v>994.99572000000012</v>
      </c>
      <c r="I4" s="7">
        <f>(H3+H4)/H11</f>
        <v>0.21700081345612954</v>
      </c>
      <c r="J4" s="58" t="s">
        <v>198</v>
      </c>
      <c r="K4" s="6">
        <v>66.45</v>
      </c>
      <c r="L4" s="18">
        <v>17</v>
      </c>
      <c r="M4" s="6">
        <f>K4*0.8808</f>
        <v>58.529160000000005</v>
      </c>
      <c r="N4" s="6">
        <v>70.400000000000006</v>
      </c>
      <c r="O4" s="6">
        <f>N4*B19</f>
        <v>61.832320000000003</v>
      </c>
      <c r="P4" s="6">
        <f t="shared" si="1"/>
        <v>1051.1494400000001</v>
      </c>
      <c r="Q4" s="7"/>
      <c r="R4" s="33"/>
      <c r="S4" s="7">
        <f t="shared" si="2"/>
        <v>5.6436142257978772E-2</v>
      </c>
      <c r="T4" s="7"/>
    </row>
    <row r="5" spans="1:20">
      <c r="A5" s="58" t="s">
        <v>121</v>
      </c>
      <c r="B5" s="58" t="s">
        <v>190</v>
      </c>
      <c r="C5" s="58" t="s">
        <v>189</v>
      </c>
      <c r="D5" s="58" t="s">
        <v>191</v>
      </c>
      <c r="E5" s="58" t="s">
        <v>20</v>
      </c>
      <c r="F5" s="58" t="s">
        <v>21</v>
      </c>
      <c r="G5" s="58" t="s">
        <v>22</v>
      </c>
      <c r="H5" s="6">
        <f t="shared" si="0"/>
        <v>1017.9771360000001</v>
      </c>
      <c r="I5" s="7">
        <f>H5/H11</f>
        <v>0.11011026600673916</v>
      </c>
      <c r="J5" s="58" t="s">
        <v>192</v>
      </c>
      <c r="K5" s="6">
        <v>60.96</v>
      </c>
      <c r="L5" s="18">
        <v>19</v>
      </c>
      <c r="M5" s="6">
        <f>K5*0.8789</f>
        <v>53.577744000000003</v>
      </c>
      <c r="N5" s="6">
        <v>75.09</v>
      </c>
      <c r="O5" s="6">
        <f>N5*B17</f>
        <v>67.077897000000007</v>
      </c>
      <c r="P5" s="6">
        <f t="shared" si="1"/>
        <v>1274.480043</v>
      </c>
      <c r="Q5" s="7"/>
      <c r="R5" s="22"/>
      <c r="S5" s="7">
        <f t="shared" si="2"/>
        <v>0.25197315138912896</v>
      </c>
      <c r="T5" s="7"/>
    </row>
    <row r="6" spans="1:20">
      <c r="A6" s="58" t="s">
        <v>170</v>
      </c>
      <c r="B6" s="58" t="s">
        <v>176</v>
      </c>
      <c r="C6" s="58" t="s">
        <v>171</v>
      </c>
      <c r="D6" s="58" t="s">
        <v>172</v>
      </c>
      <c r="E6" s="58" t="s">
        <v>29</v>
      </c>
      <c r="F6" s="58" t="s">
        <v>108</v>
      </c>
      <c r="G6" s="58" t="s">
        <v>22</v>
      </c>
      <c r="H6" s="6">
        <f t="shared" si="0"/>
        <v>1058.1340770000002</v>
      </c>
      <c r="I6" s="7">
        <f>H6/H11</f>
        <v>0.11445387186895073</v>
      </c>
      <c r="J6" s="58" t="s">
        <v>174</v>
      </c>
      <c r="K6" s="6">
        <v>171.99</v>
      </c>
      <c r="L6" s="18">
        <v>7</v>
      </c>
      <c r="M6" s="6">
        <f>K6*0.8789</f>
        <v>151.16201100000001</v>
      </c>
      <c r="N6" s="6">
        <v>195.21</v>
      </c>
      <c r="O6" s="6">
        <f>N6*B17</f>
        <v>174.38109299999999</v>
      </c>
      <c r="P6" s="6">
        <f t="shared" si="1"/>
        <v>1220.667651</v>
      </c>
      <c r="Q6" s="7"/>
      <c r="R6" s="28"/>
      <c r="S6" s="7">
        <f t="shared" si="2"/>
        <v>0.15360395013532846</v>
      </c>
      <c r="T6" s="7"/>
    </row>
    <row r="7" spans="1:20" ht="30">
      <c r="A7" s="58" t="s">
        <v>26</v>
      </c>
      <c r="B7" s="59" t="s">
        <v>177</v>
      </c>
      <c r="C7" s="58" t="s">
        <v>167</v>
      </c>
      <c r="D7" s="58" t="s">
        <v>168</v>
      </c>
      <c r="E7" s="58" t="s">
        <v>20</v>
      </c>
      <c r="F7" s="58" t="s">
        <v>21</v>
      </c>
      <c r="G7" s="58" t="s">
        <v>22</v>
      </c>
      <c r="H7" s="6">
        <f t="shared" si="0"/>
        <v>1071.2912100000001</v>
      </c>
      <c r="I7" s="7"/>
      <c r="J7" s="58" t="s">
        <v>169</v>
      </c>
      <c r="K7" s="6">
        <v>203.15</v>
      </c>
      <c r="L7" s="18">
        <v>6</v>
      </c>
      <c r="M7" s="6">
        <f>K7*0.8789</f>
        <v>178.54853500000002</v>
      </c>
      <c r="N7" s="6">
        <v>185.22</v>
      </c>
      <c r="O7" s="6">
        <f>N7*B17</f>
        <v>165.45702599999998</v>
      </c>
      <c r="P7" s="6">
        <f t="shared" si="1"/>
        <v>992.74215599999991</v>
      </c>
      <c r="Q7" s="7"/>
      <c r="R7" s="33"/>
      <c r="S7" s="7">
        <f t="shared" si="2"/>
        <v>-7.3321850554528653E-2</v>
      </c>
      <c r="T7" s="7"/>
    </row>
    <row r="8" spans="1:20" ht="30">
      <c r="A8" s="58" t="s">
        <v>26</v>
      </c>
      <c r="B8" s="59" t="s">
        <v>193</v>
      </c>
      <c r="C8" s="58" t="s">
        <v>194</v>
      </c>
      <c r="D8" s="58" t="s">
        <v>195</v>
      </c>
      <c r="E8" s="58" t="s">
        <v>10</v>
      </c>
      <c r="F8" s="58" t="s">
        <v>49</v>
      </c>
      <c r="G8" s="58" t="s">
        <v>50</v>
      </c>
      <c r="H8" s="6">
        <f t="shared" si="0"/>
        <v>1007.8210499999999</v>
      </c>
      <c r="I8" s="7">
        <f>(H7+H8)/H11</f>
        <v>0.22488874839176409</v>
      </c>
      <c r="J8" s="58" t="s">
        <v>196</v>
      </c>
      <c r="K8" s="6">
        <v>181.95</v>
      </c>
      <c r="L8" s="18">
        <v>58</v>
      </c>
      <c r="M8" s="6">
        <f>K8*0.0955</f>
        <v>17.376224999999998</v>
      </c>
      <c r="N8" s="6">
        <v>205.4</v>
      </c>
      <c r="O8" s="6">
        <f>N8*B20</f>
        <v>19.225440000000003</v>
      </c>
      <c r="P8" s="6">
        <f t="shared" si="1"/>
        <v>1115.0755200000001</v>
      </c>
      <c r="Q8" s="7"/>
      <c r="R8" s="33"/>
      <c r="S8" s="7">
        <f t="shared" si="2"/>
        <v>0.10642213714428787</v>
      </c>
      <c r="T8" s="7"/>
    </row>
    <row r="9" spans="1:20" ht="30">
      <c r="A9" s="58" t="s">
        <v>38</v>
      </c>
      <c r="B9" s="59" t="s">
        <v>175</v>
      </c>
      <c r="C9" s="58" t="s">
        <v>179</v>
      </c>
      <c r="D9" s="58" t="s">
        <v>180</v>
      </c>
      <c r="E9" s="58" t="s">
        <v>29</v>
      </c>
      <c r="F9" s="58" t="s">
        <v>108</v>
      </c>
      <c r="G9" s="58" t="s">
        <v>22</v>
      </c>
      <c r="H9" s="6">
        <f t="shared" si="0"/>
        <v>1010.9107800000002</v>
      </c>
      <c r="I9" s="7"/>
      <c r="J9" s="58" t="s">
        <v>181</v>
      </c>
      <c r="K9" s="6">
        <v>42.6</v>
      </c>
      <c r="L9" s="18">
        <v>27</v>
      </c>
      <c r="M9" s="6">
        <f>K9*0.8789</f>
        <v>37.441140000000004</v>
      </c>
      <c r="N9" s="6">
        <v>49.78</v>
      </c>
      <c r="O9" s="6">
        <f>N9*B17</f>
        <v>44.468474000000001</v>
      </c>
      <c r="P9" s="6">
        <f t="shared" si="1"/>
        <v>1200.6487979999999</v>
      </c>
      <c r="Q9" s="7"/>
      <c r="R9" s="28"/>
      <c r="S9" s="7">
        <f t="shared" si="2"/>
        <v>0.18769017182703279</v>
      </c>
      <c r="T9" s="7"/>
    </row>
    <row r="10" spans="1:20" ht="30">
      <c r="A10" s="58" t="s">
        <v>38</v>
      </c>
      <c r="B10" s="59" t="s">
        <v>162</v>
      </c>
      <c r="C10" s="58" t="s">
        <v>161</v>
      </c>
      <c r="D10" s="58" t="s">
        <v>165</v>
      </c>
      <c r="E10" s="58" t="s">
        <v>20</v>
      </c>
      <c r="F10" s="58" t="s">
        <v>21</v>
      </c>
      <c r="G10" s="58" t="s">
        <v>22</v>
      </c>
      <c r="H10" s="6">
        <f t="shared" si="0"/>
        <v>1026.098172</v>
      </c>
      <c r="I10" s="7">
        <f>(H9+H10)/H11</f>
        <v>0.22033461227249898</v>
      </c>
      <c r="J10" s="58" t="s">
        <v>163</v>
      </c>
      <c r="K10" s="6">
        <v>64.86</v>
      </c>
      <c r="L10" s="18">
        <v>18</v>
      </c>
      <c r="M10" s="6">
        <f>K10*0.8789</f>
        <v>57.005454</v>
      </c>
      <c r="N10" s="6">
        <v>68.47</v>
      </c>
      <c r="O10" s="6">
        <f>N10*B17</f>
        <v>61.164251</v>
      </c>
      <c r="P10" s="6">
        <f t="shared" si="1"/>
        <v>1100.956518</v>
      </c>
      <c r="Q10" s="7"/>
      <c r="R10" s="33"/>
      <c r="S10" s="7">
        <f t="shared" si="2"/>
        <v>7.2954370295866766E-2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9830.3425940000016</v>
      </c>
      <c r="Q11" s="12"/>
      <c r="R11" s="11"/>
      <c r="S11" s="12">
        <f t="shared" si="2"/>
        <v>6.3306433596283046E-2</v>
      </c>
      <c r="T11" s="12">
        <v>8.5300000000000001E-2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7" t="s">
        <v>197</v>
      </c>
      <c r="K13" s="15">
        <v>2131.0500000000002</v>
      </c>
      <c r="L13" s="20"/>
      <c r="M13" s="15"/>
      <c r="N13" s="15">
        <f>'170830_langfr_Geldanlage'!N14</f>
        <v>2177.7600000000002</v>
      </c>
      <c r="O13" s="15"/>
      <c r="P13" s="15"/>
      <c r="Q13" s="16"/>
      <c r="R13" s="24" t="s">
        <v>64</v>
      </c>
      <c r="S13" s="16">
        <f>(N13-K13)/K13</f>
        <v>2.1918772436123054E-2</v>
      </c>
      <c r="T13" s="16">
        <v>2.93E-2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0.89329999999999998</v>
      </c>
    </row>
    <row r="18" spans="1:3">
      <c r="A18" s="35" t="s">
        <v>120</v>
      </c>
      <c r="B18" s="1">
        <f>'170830_langfr_Geldanlage'!B19</f>
        <v>1.1766000000000001</v>
      </c>
    </row>
    <row r="19" spans="1:3">
      <c r="A19" s="61" t="s">
        <v>90</v>
      </c>
      <c r="B19" s="35">
        <f>'171004_langfr_Geldanlage'!B18</f>
        <v>0.87829999999999997</v>
      </c>
    </row>
    <row r="20" spans="1:3">
      <c r="A20" s="61" t="s">
        <v>50</v>
      </c>
      <c r="B20" s="1">
        <f>'170830_langfr_Geldanlage'!B22</f>
        <v>9.3600000000000003E-2</v>
      </c>
    </row>
    <row r="23" spans="1:3">
      <c r="A23" s="48" t="s">
        <v>125</v>
      </c>
      <c r="B23" s="49">
        <f>'170830_langfr_Geldanlage'!B25</f>
        <v>43589</v>
      </c>
      <c r="C23" s="55" t="str">
        <f>'171004_langfr_Geldanlage'!C22</f>
        <v>16 Uhr</v>
      </c>
    </row>
    <row r="24" spans="1:3">
      <c r="A24" s="48" t="s">
        <v>126</v>
      </c>
      <c r="B24" s="2">
        <v>0.75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1" sqref="T11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8" t="s">
        <v>231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122</v>
      </c>
      <c r="O1" s="47" t="s">
        <v>123</v>
      </c>
      <c r="P1" s="47" t="s">
        <v>124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 customHeight="1">
      <c r="A2" s="66" t="s">
        <v>4</v>
      </c>
      <c r="B2" s="65" t="s">
        <v>221</v>
      </c>
      <c r="C2" s="66" t="s">
        <v>222</v>
      </c>
      <c r="D2" s="66" t="s">
        <v>223</v>
      </c>
      <c r="E2" s="66" t="s">
        <v>10</v>
      </c>
      <c r="F2" s="66" t="s">
        <v>112</v>
      </c>
      <c r="G2" s="58" t="s">
        <v>16</v>
      </c>
      <c r="H2" s="6">
        <f t="shared" ref="H2:H10" si="0">M2*L2</f>
        <v>1033.3399999999999</v>
      </c>
      <c r="I2" s="7"/>
      <c r="J2" s="66" t="s">
        <v>224</v>
      </c>
      <c r="K2" s="6">
        <v>93.94</v>
      </c>
      <c r="L2" s="18">
        <v>11</v>
      </c>
      <c r="M2" s="6">
        <f>K2</f>
        <v>93.94</v>
      </c>
      <c r="N2" s="6">
        <v>107.2</v>
      </c>
      <c r="O2" s="6">
        <f>N2</f>
        <v>107.2</v>
      </c>
      <c r="P2" s="6">
        <f t="shared" ref="P2:P10" si="1">L2*O2</f>
        <v>1179.2</v>
      </c>
      <c r="Q2" s="7"/>
      <c r="R2" s="26"/>
      <c r="S2" s="7">
        <f t="shared" ref="S2:S11" si="2">(P2-H2)/H2</f>
        <v>0.14115392803917406</v>
      </c>
      <c r="T2" s="7"/>
    </row>
    <row r="3" spans="1:20">
      <c r="A3" s="58" t="s">
        <v>4</v>
      </c>
      <c r="B3" s="65" t="s">
        <v>212</v>
      </c>
      <c r="C3" s="65" t="s">
        <v>213</v>
      </c>
      <c r="D3" s="66" t="s">
        <v>214</v>
      </c>
      <c r="E3" s="66" t="s">
        <v>10</v>
      </c>
      <c r="F3" s="66" t="s">
        <v>15</v>
      </c>
      <c r="G3" s="66" t="s">
        <v>16</v>
      </c>
      <c r="H3" s="6">
        <f t="shared" si="0"/>
        <v>1014.7500000000001</v>
      </c>
      <c r="I3" s="7">
        <f>(H2+H3)/H11</f>
        <v>0.22135271582297517</v>
      </c>
      <c r="J3" s="66" t="s">
        <v>215</v>
      </c>
      <c r="K3" s="6">
        <v>67.650000000000006</v>
      </c>
      <c r="L3" s="18">
        <v>15</v>
      </c>
      <c r="M3" s="6">
        <f>K3</f>
        <v>67.650000000000006</v>
      </c>
      <c r="N3" s="6">
        <v>72.87</v>
      </c>
      <c r="O3" s="6">
        <f>N3</f>
        <v>72.87</v>
      </c>
      <c r="P3" s="6">
        <f t="shared" si="1"/>
        <v>1093.0500000000002</v>
      </c>
      <c r="Q3" s="7"/>
      <c r="R3" s="28"/>
      <c r="S3" s="7">
        <f t="shared" si="2"/>
        <v>7.7161862527716243E-2</v>
      </c>
      <c r="T3" s="7"/>
    </row>
    <row r="4" spans="1:20">
      <c r="A4" s="64" t="s">
        <v>121</v>
      </c>
      <c r="B4" s="64" t="s">
        <v>208</v>
      </c>
      <c r="C4" s="64" t="s">
        <v>207</v>
      </c>
      <c r="D4" s="74" t="s">
        <v>248</v>
      </c>
      <c r="E4" s="64" t="s">
        <v>10</v>
      </c>
      <c r="F4" s="64" t="s">
        <v>34</v>
      </c>
      <c r="G4" s="64" t="s">
        <v>118</v>
      </c>
      <c r="H4" s="6">
        <f t="shared" si="0"/>
        <v>1024.740288</v>
      </c>
      <c r="I4" s="7">
        <f>(H4)/H11</f>
        <v>0.11075150299157639</v>
      </c>
      <c r="J4" s="66" t="s">
        <v>229</v>
      </c>
      <c r="K4" s="6">
        <v>41.47</v>
      </c>
      <c r="L4" s="18">
        <v>22</v>
      </c>
      <c r="M4" s="6">
        <f>K4*1.1232</f>
        <v>46.579104000000001</v>
      </c>
      <c r="N4" s="6">
        <v>49.44</v>
      </c>
      <c r="O4" s="6">
        <f>N4*B18</f>
        <v>58.171104</v>
      </c>
      <c r="P4" s="6">
        <f t="shared" si="1"/>
        <v>1279.7642880000001</v>
      </c>
      <c r="Q4" s="7"/>
      <c r="R4" s="33"/>
      <c r="S4" s="7">
        <f t="shared" si="2"/>
        <v>0.24886695974229142</v>
      </c>
      <c r="T4" s="7"/>
    </row>
    <row r="5" spans="1:20">
      <c r="A5" s="58" t="s">
        <v>121</v>
      </c>
      <c r="B5" s="64" t="s">
        <v>203</v>
      </c>
      <c r="C5" s="64" t="s">
        <v>204</v>
      </c>
      <c r="D5" s="64" t="s">
        <v>205</v>
      </c>
      <c r="E5" s="58" t="s">
        <v>20</v>
      </c>
      <c r="F5" s="58" t="s">
        <v>21</v>
      </c>
      <c r="G5" s="58" t="s">
        <v>22</v>
      </c>
      <c r="H5" s="6">
        <f t="shared" si="0"/>
        <v>1045.1644920000001</v>
      </c>
      <c r="I5" s="7">
        <f>H5/H11</f>
        <v>0.11295890258042381</v>
      </c>
      <c r="J5" s="64" t="s">
        <v>206</v>
      </c>
      <c r="K5" s="6">
        <v>66.39</v>
      </c>
      <c r="L5" s="18">
        <v>18</v>
      </c>
      <c r="M5" s="6">
        <f>K5*0.8746</f>
        <v>58.064694000000003</v>
      </c>
      <c r="N5" s="6">
        <v>70.52</v>
      </c>
      <c r="O5" s="6">
        <f>N5*B17</f>
        <v>62.995515999999995</v>
      </c>
      <c r="P5" s="6">
        <f t="shared" si="1"/>
        <v>1133.9192879999998</v>
      </c>
      <c r="Q5" s="7"/>
      <c r="R5" s="22"/>
      <c r="S5" s="7">
        <f t="shared" si="2"/>
        <v>8.4919452085633715E-2</v>
      </c>
      <c r="T5" s="7"/>
    </row>
    <row r="6" spans="1:20">
      <c r="A6" s="58" t="s">
        <v>170</v>
      </c>
      <c r="B6" s="66" t="s">
        <v>217</v>
      </c>
      <c r="C6" s="66" t="s">
        <v>218</v>
      </c>
      <c r="D6" s="66" t="s">
        <v>219</v>
      </c>
      <c r="E6" s="66" t="s">
        <v>10</v>
      </c>
      <c r="F6" s="66" t="s">
        <v>112</v>
      </c>
      <c r="G6" s="66" t="s">
        <v>16</v>
      </c>
      <c r="H6" s="6">
        <f t="shared" si="0"/>
        <v>1020.6</v>
      </c>
      <c r="I6" s="7">
        <f>H6/H11</f>
        <v>0.1103040304717705</v>
      </c>
      <c r="J6" s="66" t="s">
        <v>220</v>
      </c>
      <c r="K6" s="6">
        <v>255.15</v>
      </c>
      <c r="L6" s="18">
        <v>4</v>
      </c>
      <c r="M6" s="6">
        <f>K6</f>
        <v>255.15</v>
      </c>
      <c r="N6" s="6">
        <v>356</v>
      </c>
      <c r="O6" s="6">
        <f>N6</f>
        <v>356</v>
      </c>
      <c r="P6" s="6">
        <f t="shared" si="1"/>
        <v>1424</v>
      </c>
      <c r="Q6" s="7"/>
      <c r="R6" s="28"/>
      <c r="S6" s="7">
        <f t="shared" si="2"/>
        <v>0.39525769155398782</v>
      </c>
      <c r="T6" s="7"/>
    </row>
    <row r="7" spans="1:20" ht="30" customHeight="1">
      <c r="A7" s="58" t="s">
        <v>26</v>
      </c>
      <c r="B7" s="63" t="s">
        <v>202</v>
      </c>
      <c r="C7" s="64" t="s">
        <v>142</v>
      </c>
      <c r="D7" s="64" t="s">
        <v>148</v>
      </c>
      <c r="E7" s="64" t="s">
        <v>10</v>
      </c>
      <c r="F7" s="64" t="s">
        <v>15</v>
      </c>
      <c r="G7" s="64" t="s">
        <v>16</v>
      </c>
      <c r="H7" s="6">
        <f t="shared" si="0"/>
        <v>1027</v>
      </c>
      <c r="I7" s="7"/>
      <c r="J7" s="66" t="s">
        <v>230</v>
      </c>
      <c r="K7" s="6">
        <v>513.5</v>
      </c>
      <c r="L7" s="18">
        <v>2</v>
      </c>
      <c r="M7" s="6">
        <f>K7</f>
        <v>513.5</v>
      </c>
      <c r="N7" s="6">
        <v>597</v>
      </c>
      <c r="O7" s="6">
        <f>N7</f>
        <v>597</v>
      </c>
      <c r="P7" s="6">
        <f t="shared" si="1"/>
        <v>1194</v>
      </c>
      <c r="Q7" s="7"/>
      <c r="R7" s="33"/>
      <c r="S7" s="7">
        <f t="shared" si="2"/>
        <v>0.16260954235637781</v>
      </c>
      <c r="T7" s="7"/>
    </row>
    <row r="8" spans="1:20" ht="30">
      <c r="A8" s="58" t="s">
        <v>26</v>
      </c>
      <c r="B8" s="63" t="s">
        <v>199</v>
      </c>
      <c r="C8" s="64" t="s">
        <v>200</v>
      </c>
      <c r="D8" s="64" t="s">
        <v>201</v>
      </c>
      <c r="E8" s="58" t="s">
        <v>10</v>
      </c>
      <c r="F8" s="64" t="s">
        <v>89</v>
      </c>
      <c r="G8" s="64" t="s">
        <v>90</v>
      </c>
      <c r="H8" s="6">
        <f t="shared" si="0"/>
        <v>1049.1519000000001</v>
      </c>
      <c r="I8" s="7">
        <f>(H7+H8)/H11</f>
        <v>0.22438557950384497</v>
      </c>
      <c r="J8" s="66" t="s">
        <v>233</v>
      </c>
      <c r="K8" s="6">
        <v>198.5</v>
      </c>
      <c r="L8" s="18">
        <v>6</v>
      </c>
      <c r="M8" s="6">
        <f>K8*0.8809</f>
        <v>174.85865000000001</v>
      </c>
      <c r="N8" s="6">
        <v>219.6</v>
      </c>
      <c r="O8" s="6">
        <f>N8*B19</f>
        <v>192.87467999999998</v>
      </c>
      <c r="P8" s="6">
        <f t="shared" si="1"/>
        <v>1157.2480799999998</v>
      </c>
      <c r="Q8" s="7"/>
      <c r="R8" s="33"/>
      <c r="S8" s="7">
        <f t="shared" si="2"/>
        <v>0.10303196324574142</v>
      </c>
      <c r="T8" s="7"/>
    </row>
    <row r="9" spans="1:20">
      <c r="A9" s="64" t="s">
        <v>46</v>
      </c>
      <c r="B9" s="63" t="s">
        <v>209</v>
      </c>
      <c r="C9" s="64" t="s">
        <v>210</v>
      </c>
      <c r="D9" s="64" t="s">
        <v>211</v>
      </c>
      <c r="E9" s="64" t="s">
        <v>20</v>
      </c>
      <c r="F9" s="64" t="s">
        <v>21</v>
      </c>
      <c r="G9" s="58" t="s">
        <v>22</v>
      </c>
      <c r="H9" s="6">
        <f t="shared" si="0"/>
        <v>1085.3436160000001</v>
      </c>
      <c r="I9" s="7">
        <f>(H9)/H11</f>
        <v>0.11730136712875326</v>
      </c>
      <c r="J9" s="66" t="s">
        <v>234</v>
      </c>
      <c r="K9" s="6">
        <v>177.28</v>
      </c>
      <c r="L9" s="18">
        <v>7</v>
      </c>
      <c r="M9" s="6">
        <f>K9*0.8746</f>
        <v>155.04908800000001</v>
      </c>
      <c r="N9" s="6">
        <v>217.88</v>
      </c>
      <c r="O9" s="6">
        <f>N9*B17</f>
        <v>194.632204</v>
      </c>
      <c r="P9" s="6">
        <f t="shared" si="1"/>
        <v>1362.425428</v>
      </c>
      <c r="Q9" s="7"/>
      <c r="R9" s="28"/>
      <c r="S9" s="7">
        <f t="shared" si="2"/>
        <v>0.25529409112035528</v>
      </c>
      <c r="T9" s="7"/>
    </row>
    <row r="10" spans="1:20">
      <c r="A10" s="58" t="s">
        <v>38</v>
      </c>
      <c r="B10" s="65" t="s">
        <v>225</v>
      </c>
      <c r="C10" s="66" t="s">
        <v>216</v>
      </c>
      <c r="D10" s="66" t="s">
        <v>226</v>
      </c>
      <c r="E10" s="66" t="s">
        <v>20</v>
      </c>
      <c r="F10" s="66" t="s">
        <v>21</v>
      </c>
      <c r="G10" s="58" t="s">
        <v>22</v>
      </c>
      <c r="H10" s="6">
        <f t="shared" si="0"/>
        <v>952.5181140000002</v>
      </c>
      <c r="I10" s="7">
        <f>H10/H11</f>
        <v>0.10294590150065587</v>
      </c>
      <c r="J10" s="66" t="s">
        <v>227</v>
      </c>
      <c r="K10" s="6">
        <v>121.01</v>
      </c>
      <c r="L10" s="18">
        <v>9</v>
      </c>
      <c r="M10" s="6">
        <f>K10*0.8746</f>
        <v>105.83534600000002</v>
      </c>
      <c r="N10" s="6">
        <v>163.34</v>
      </c>
      <c r="O10" s="6">
        <f>N10*B17</f>
        <v>145.91162199999999</v>
      </c>
      <c r="P10" s="6">
        <f t="shared" si="1"/>
        <v>1313.204598</v>
      </c>
      <c r="Q10" s="7"/>
      <c r="R10" s="33"/>
      <c r="S10" s="7">
        <f t="shared" si="2"/>
        <v>0.37866627279699139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11136.811682000001</v>
      </c>
      <c r="Q11" s="12"/>
      <c r="R11" s="11"/>
      <c r="S11" s="12">
        <f t="shared" si="2"/>
        <v>0.20364022646452845</v>
      </c>
      <c r="T11" s="12">
        <v>0.55469999999999997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7" t="s">
        <v>228</v>
      </c>
      <c r="K13" s="15">
        <v>2009.6</v>
      </c>
      <c r="L13" s="20"/>
      <c r="M13" s="15"/>
      <c r="N13" s="15">
        <f>'170830_langfr_Geldanlage'!N14</f>
        <v>2177.7600000000002</v>
      </c>
      <c r="O13" s="15"/>
      <c r="P13" s="15"/>
      <c r="Q13" s="16"/>
      <c r="R13" s="24" t="s">
        <v>64</v>
      </c>
      <c r="S13" s="16">
        <f>(N13-K13)/K13</f>
        <v>8.3678343949044748E-2</v>
      </c>
      <c r="T13" s="16">
        <v>0.2109</v>
      </c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0.89329999999999998</v>
      </c>
    </row>
    <row r="18" spans="1:3">
      <c r="A18" s="35" t="s">
        <v>120</v>
      </c>
      <c r="B18" s="1">
        <f>'170830_langfr_Geldanlage'!B19</f>
        <v>1.1766000000000001</v>
      </c>
    </row>
    <row r="19" spans="1:3">
      <c r="A19" s="61" t="s">
        <v>90</v>
      </c>
      <c r="B19" s="35">
        <f>'171004_langfr_Geldanlage'!B18</f>
        <v>0.87829999999999997</v>
      </c>
    </row>
    <row r="20" spans="1:3">
      <c r="A20" s="61" t="s">
        <v>50</v>
      </c>
      <c r="B20" s="1">
        <f>'170830_langfr_Geldanlage'!B22</f>
        <v>9.3600000000000003E-2</v>
      </c>
    </row>
    <row r="23" spans="1:3">
      <c r="A23" s="48" t="s">
        <v>125</v>
      </c>
      <c r="B23" s="49">
        <f>'170830_langfr_Geldanlage'!B25</f>
        <v>43589</v>
      </c>
      <c r="C23" s="69" t="s">
        <v>232</v>
      </c>
    </row>
    <row r="24" spans="1:3">
      <c r="A24" s="48" t="s">
        <v>126</v>
      </c>
      <c r="B24" s="2">
        <v>0.42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baseColWidth="10" defaultRowHeight="15" x14ac:dyDescent="0"/>
  <cols>
    <col min="1" max="1" width="19" style="35" bestFit="1" customWidth="1"/>
    <col min="2" max="2" width="43.1640625" style="35" bestFit="1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71" t="s">
        <v>238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122</v>
      </c>
      <c r="O1" s="47" t="s">
        <v>123</v>
      </c>
      <c r="P1" s="47" t="s">
        <v>124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70" t="s">
        <v>235</v>
      </c>
      <c r="C2" s="70" t="s">
        <v>236</v>
      </c>
      <c r="D2" s="70" t="s">
        <v>237</v>
      </c>
      <c r="E2" s="70" t="s">
        <v>20</v>
      </c>
      <c r="F2" s="70" t="s">
        <v>21</v>
      </c>
      <c r="G2" s="70" t="s">
        <v>22</v>
      </c>
      <c r="H2" s="33">
        <f t="shared" ref="H2:H5" si="0">L2*M2</f>
        <v>780.05989599999987</v>
      </c>
      <c r="I2" s="31">
        <f>(H2)/H6</f>
        <v>0.200457239617016</v>
      </c>
      <c r="J2" s="73" t="s">
        <v>75</v>
      </c>
      <c r="K2" s="33">
        <v>63.08</v>
      </c>
      <c r="L2" s="36">
        <v>14</v>
      </c>
      <c r="M2" s="33">
        <f>K2*0.8833</f>
        <v>55.718563999999994</v>
      </c>
      <c r="N2" s="33">
        <v>63.23</v>
      </c>
      <c r="O2" s="33">
        <f>N2*B11</f>
        <v>56.483358999999993</v>
      </c>
      <c r="P2" s="33">
        <f t="shared" ref="P2:P5" si="1">L2*O2</f>
        <v>790.76702599999987</v>
      </c>
      <c r="Q2" s="31"/>
      <c r="R2" s="29"/>
      <c r="S2" s="31">
        <f t="shared" ref="S2:S6" si="2">(P2-H2)/H2</f>
        <v>1.3726035724825942E-2</v>
      </c>
      <c r="T2" s="31"/>
    </row>
    <row r="3" spans="1:20">
      <c r="A3" s="70" t="s">
        <v>26</v>
      </c>
      <c r="B3" s="70" t="s">
        <v>239</v>
      </c>
      <c r="C3" s="72" t="s">
        <v>240</v>
      </c>
      <c r="D3" s="70" t="s">
        <v>241</v>
      </c>
      <c r="E3" s="70" t="s">
        <v>10</v>
      </c>
      <c r="F3" s="70" t="s">
        <v>119</v>
      </c>
      <c r="G3" s="70" t="s">
        <v>16</v>
      </c>
      <c r="H3" s="33">
        <f t="shared" si="0"/>
        <v>1010.4</v>
      </c>
      <c r="I3" s="31">
        <f>(H3)/H6</f>
        <v>0.25964928584026709</v>
      </c>
      <c r="J3" s="73" t="s">
        <v>53</v>
      </c>
      <c r="K3" s="33">
        <v>63.15</v>
      </c>
      <c r="L3" s="36">
        <v>16</v>
      </c>
      <c r="M3" s="33">
        <f>K3</f>
        <v>63.15</v>
      </c>
      <c r="N3" s="33">
        <v>65.7</v>
      </c>
      <c r="O3" s="33">
        <f>N3</f>
        <v>65.7</v>
      </c>
      <c r="P3" s="33">
        <f t="shared" si="1"/>
        <v>1051.2</v>
      </c>
      <c r="Q3" s="31">
        <f>(P2+P3)/P6</f>
        <v>0.45114351584027651</v>
      </c>
      <c r="R3" s="33"/>
      <c r="S3" s="31">
        <f t="shared" si="2"/>
        <v>4.0380047505938307E-2</v>
      </c>
      <c r="T3" s="31"/>
    </row>
    <row r="4" spans="1:20">
      <c r="A4" s="70" t="s">
        <v>46</v>
      </c>
      <c r="B4" s="70" t="s">
        <v>242</v>
      </c>
      <c r="C4" s="72" t="s">
        <v>156</v>
      </c>
      <c r="D4" s="70" t="s">
        <v>157</v>
      </c>
      <c r="E4" s="70" t="s">
        <v>10</v>
      </c>
      <c r="F4" s="70" t="s">
        <v>243</v>
      </c>
      <c r="G4" s="70" t="s">
        <v>16</v>
      </c>
      <c r="H4" s="33">
        <f t="shared" si="0"/>
        <v>1007.4000000000001</v>
      </c>
      <c r="I4" s="31">
        <f>(H4)/H6</f>
        <v>0.25887835565665585</v>
      </c>
      <c r="J4" s="73" t="s">
        <v>53</v>
      </c>
      <c r="K4" s="33">
        <v>335.8</v>
      </c>
      <c r="L4" s="36">
        <v>3</v>
      </c>
      <c r="M4" s="33">
        <f>K4</f>
        <v>335.8</v>
      </c>
      <c r="N4" s="33">
        <v>398.8</v>
      </c>
      <c r="O4" s="33">
        <f>N4</f>
        <v>398.8</v>
      </c>
      <c r="P4" s="33">
        <f t="shared" si="1"/>
        <v>1196.4000000000001</v>
      </c>
      <c r="Q4" s="31">
        <f>(P4)/P6</f>
        <v>0.29302810242125743</v>
      </c>
      <c r="R4" s="33"/>
      <c r="S4" s="31">
        <f t="shared" si="2"/>
        <v>0.18761167361524717</v>
      </c>
      <c r="T4" s="31"/>
    </row>
    <row r="5" spans="1:20">
      <c r="A5" s="70" t="s">
        <v>38</v>
      </c>
      <c r="B5" s="70" t="s">
        <v>244</v>
      </c>
      <c r="C5" s="72" t="s">
        <v>245</v>
      </c>
      <c r="D5" s="70" t="s">
        <v>246</v>
      </c>
      <c r="E5" s="70" t="s">
        <v>29</v>
      </c>
      <c r="F5" s="70" t="s">
        <v>247</v>
      </c>
      <c r="G5" s="29" t="s">
        <v>22</v>
      </c>
      <c r="H5" s="33">
        <f t="shared" si="0"/>
        <v>1093.543066</v>
      </c>
      <c r="I5" s="31">
        <f>(H5)/H6</f>
        <v>0.28101511888606101</v>
      </c>
      <c r="J5" s="73" t="s">
        <v>53</v>
      </c>
      <c r="K5" s="33">
        <v>176.86</v>
      </c>
      <c r="L5" s="36">
        <v>7</v>
      </c>
      <c r="M5" s="33">
        <f>K5*0.8833</f>
        <v>156.220438</v>
      </c>
      <c r="N5" s="33">
        <v>167.04</v>
      </c>
      <c r="O5" s="33">
        <f>N5*B11</f>
        <v>149.21683199999998</v>
      </c>
      <c r="P5" s="33">
        <f t="shared" si="1"/>
        <v>1044.5178239999998</v>
      </c>
      <c r="Q5" s="31">
        <f>(P5)/P6</f>
        <v>0.25582838173846612</v>
      </c>
      <c r="R5" s="33"/>
      <c r="S5" s="31">
        <f t="shared" si="2"/>
        <v>-4.4831560387764521E-2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3891.4029620000001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4082.8848499999995</v>
      </c>
      <c r="Q6" s="12">
        <f>SUM(Q2:Q5)</f>
        <v>1</v>
      </c>
      <c r="R6" s="11"/>
      <c r="S6" s="12">
        <f t="shared" si="2"/>
        <v>4.9206389024689073E-2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1952.83</v>
      </c>
      <c r="L8" s="43"/>
      <c r="M8" s="41"/>
      <c r="N8" s="41">
        <f>'170830_langfr_Geldanlage'!N14</f>
        <v>2177.7600000000002</v>
      </c>
      <c r="O8" s="41"/>
      <c r="P8" s="41"/>
      <c r="Q8" s="42"/>
      <c r="R8" s="41" t="s">
        <v>64</v>
      </c>
      <c r="S8" s="42">
        <f>(N8-K8)/K8</f>
        <v>0.11518155702237282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0.89329999999999998</v>
      </c>
    </row>
    <row r="12" spans="1:20">
      <c r="A12" s="35" t="s">
        <v>118</v>
      </c>
      <c r="B12" s="35">
        <f>'170830_langfr_Geldanlage'!B19</f>
        <v>1.1766000000000001</v>
      </c>
    </row>
    <row r="14" spans="1:20">
      <c r="A14" s="48" t="s">
        <v>125</v>
      </c>
      <c r="B14" s="49">
        <f>'170830_langfr_Geldanlage'!B25</f>
        <v>43589</v>
      </c>
      <c r="C14" s="56" t="str">
        <f>'170830_langfr_Geldanlage'!C25</f>
        <v>16 Uhr</v>
      </c>
      <c r="K14" s="44">
        <v>21.024999999999999</v>
      </c>
    </row>
    <row r="15" spans="1:20">
      <c r="A15" s="48" t="s">
        <v>126</v>
      </c>
      <c r="B15" s="44">
        <v>0.33</v>
      </c>
      <c r="K15" s="44">
        <v>63.074999999999996</v>
      </c>
    </row>
  </sheetData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  <vt:lpstr>181212_2019_Empfehlungsliste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2019-05-04T14:23:58Z</dcterms:modified>
</cp:coreProperties>
</file>