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  <sheet name="181212_2019_Empfehlungsliste" sheetId="10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0" l="1"/>
  <c r="O4" i="10"/>
  <c r="M4" i="10"/>
  <c r="O3" i="10"/>
  <c r="M3" i="10"/>
  <c r="B11" i="10"/>
  <c r="O2" i="10"/>
  <c r="M2" i="10"/>
  <c r="N13" i="9"/>
  <c r="H2" i="10"/>
  <c r="H3" i="10"/>
  <c r="H4" i="10"/>
  <c r="H5" i="10"/>
  <c r="H6" i="10"/>
  <c r="I2" i="10"/>
  <c r="I3" i="10"/>
  <c r="C14" i="10"/>
  <c r="B14" i="10"/>
  <c r="B12" i="10"/>
  <c r="N8" i="10"/>
  <c r="S8" i="10"/>
  <c r="P2" i="10"/>
  <c r="P3" i="10"/>
  <c r="P4" i="10"/>
  <c r="O5" i="10"/>
  <c r="P5" i="10"/>
  <c r="P6" i="10"/>
  <c r="S6" i="10"/>
  <c r="Q3" i="10"/>
  <c r="Q4" i="10"/>
  <c r="Q5" i="10"/>
  <c r="Q6" i="10"/>
  <c r="I4" i="10"/>
  <c r="I5" i="10"/>
  <c r="I6" i="10"/>
  <c r="S5" i="10"/>
  <c r="S4" i="10"/>
  <c r="S3" i="10"/>
  <c r="S2" i="10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H11" i="9"/>
  <c r="I10" i="9"/>
  <c r="O6" i="9"/>
  <c r="M6" i="9"/>
  <c r="O3" i="9"/>
  <c r="M3" i="9"/>
  <c r="H3" i="9"/>
  <c r="H6" i="9"/>
  <c r="I3" i="9"/>
  <c r="I9" i="9"/>
  <c r="B18" i="9"/>
  <c r="O4" i="9"/>
  <c r="I4" i="9"/>
  <c r="O7" i="9"/>
  <c r="B19" i="9"/>
  <c r="O8" i="9"/>
  <c r="B23" i="9"/>
  <c r="B20" i="9"/>
  <c r="B17" i="9"/>
  <c r="S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S11" i="9"/>
  <c r="I5" i="9"/>
  <c r="I6" i="9"/>
  <c r="I8" i="9"/>
  <c r="I11" i="9"/>
  <c r="S10" i="9"/>
  <c r="S9" i="9"/>
  <c r="S8" i="9"/>
  <c r="S7" i="9"/>
  <c r="S6" i="9"/>
  <c r="S5" i="9"/>
  <c r="S4" i="9"/>
  <c r="S3" i="9"/>
  <c r="S2" i="9"/>
  <c r="B20" i="7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<sst xmlns="http://schemas.openxmlformats.org/spreadsheetml/2006/main" count="598" uniqueCount="250">
  <si>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</si>
  <si>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</si>
  <si>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</si>
  <si>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</si>
  <si>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</si>
  <si>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</si>
  <si>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</si>
  <si>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</si>
  <si>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</si>
  <si>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</si>
  <si>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</si>
  <si>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</si>
  <si>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</si>
  <si>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</si>
  <si>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</si>
  <si>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</si>
  <si>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</si>
  <si>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</si>
  <si>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</si>
  <si>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</si>
  <si>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</si>
  <si>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</si>
  <si>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</si>
  <si>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</si>
  <si>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</si>
  <si>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</si>
  <si>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</si>
  <si>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</si>
  <si>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</si>
  <si>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</si>
  <si>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</si>
  <si>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</si>
  <si>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</si>
  <si>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</si>
  <si>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</si>
  <si>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</si>
  <si>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</si>
  <si>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</si>
  <si>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</si>
  <si>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</si>
  <si>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</si>
  <si>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</si>
  <si>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</si>
  <si>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</si>
  <si>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</si>
  <si>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</si>
  <si>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</si>
  <si>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</si>
  <si>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</si>
  <si>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</si>
  <si>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</si>
  <si>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</si>
  <si>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</si>
  <si>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</si>
  <si>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</si>
  <si>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</si>
  <si>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</si>
  <si>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</si>
  <si>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</si>
  <si>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</si>
  <si>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</si>
  <si>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</si>
  <si>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</si>
  <si>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</si>
  <si>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</si>
  <si>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</si>
  <si>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</si>
  <si>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</si>
  <si>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</si>
  <si>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</si>
  <si>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</si>
  <si>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</si>
  <si>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</si>
  <si>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</si>
  <si>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</si>
  <si>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</si>
  <si>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</si>
  <si>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</si>
  <si>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</si>
  <si>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</si>
  <si>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</si>
  <si>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</si>
  <si>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</si>
  <si>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</si>
  <si>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</si>
  <si>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</si>
  <si>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</si>
  <si>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</si>
  <si>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</si>
  <si>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</si>
  <si>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</si>
  <si>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</si>
  <si>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</si>
  <si>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</si>
  <si>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</si>
  <si>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</si>
  <si>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</si>
  <si>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</si>
  <si>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</si>
  <si>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</si>
  <si>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</si>
  <si>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</si>
  <si>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</si>
  <si>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</si>
  <si>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</si>
  <si>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</si>
  <si>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</si>
  <si>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</si>
  <si>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</si>
  <si>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</si>
  <si>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</si>
  <si>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</si>
  <si>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</si>
  <si>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</si>
  <si>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</si>
  <si>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</si>
  <si>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</si>
  <si>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</si>
  <si>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GBP</t>
  </si>
  <si>
    <t>DE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</si>
  <si>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</si>
  <si>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</si>
  <si>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</si>
  <si>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</si>
  <si>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</si>
  <si>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</si>
  <si>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</si>
  <si>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</si>
  <si>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</si>
  <si>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</si>
  <si>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</si>
  <si>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</si>
  <si>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</si>
  <si>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</si>
  <si>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</si>
  <si>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</si>
  <si>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</si>
  <si>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</si>
  <si>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</si>
  <si>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</si>
  <si>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</si>
  <si>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</si>
  <si>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</si>
  <si>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</si>
  <si>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</si>
  <si>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</si>
  <si>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</si>
  <si>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</si>
  <si>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</si>
  <si>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</si>
  <si>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</si>
  <si>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</si>
  <si>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</si>
  <si>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</si>
  <si>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</si>
  <si>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</si>
  <si>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</si>
  <si>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</si>
  <si>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</si>
  <si>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</si>
  <si>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</si>
  <si>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</si>
  <si>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</si>
  <si>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</si>
  <si>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</si>
  <si>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</si>
  <si>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</si>
  <si>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</si>
  <si>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</si>
  <si>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</si>
  <si>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</si>
  <si>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</si>
  <si>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</si>
  <si>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</si>
  <si>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</si>
  <si>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</si>
  <si>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</si>
  <si>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</si>
  <si>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</si>
  <si>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</si>
  <si>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</si>
  <si>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</si>
  <si>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</si>
  <si>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</si>
  <si>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</si>
  <si>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</si>
  <si>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</si>
  <si>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</si>
  <si>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</si>
  <si>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</si>
  <si>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</si>
  <si>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</si>
  <si>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</si>
  <si>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</si>
  <si>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</si>
  <si>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</si>
  <si>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</si>
  <si>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</si>
  <si>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</si>
  <si>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</si>
  <si>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</si>
  <si>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</si>
  <si>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</si>
  <si>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</si>
  <si>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</si>
  <si>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</si>
  <si>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</si>
  <si>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</si>
  <si>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</si>
  <si>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</si>
  <si>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</si>
  <si>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</si>
  <si>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</si>
  <si>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</si>
  <si>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</si>
  <si>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</si>
  <si>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</si>
  <si>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</si>
  <si>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</si>
  <si>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</si>
  <si>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</si>
  <si>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</si>
  <si>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</si>
  <si>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</si>
  <si>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</si>
  <si>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</si>
  <si>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</si>
  <si>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</si>
  <si>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</si>
  <si>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</si>
  <si>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</si>
  <si>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</si>
  <si>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</si>
  <si>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</si>
  <si>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</si>
  <si>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Medizintechnik Geräte Zahnt. Tiergesundh.</t>
  </si>
  <si>
    <t>Henry Schein</t>
  </si>
  <si>
    <t>897961 US</t>
  </si>
  <si>
    <r>
      <t>Wert 31.12.201</t>
    </r>
    <r>
      <rPr>
        <sz val="12"/>
        <color theme="1"/>
        <rFont val="Calibri"/>
        <family val="2"/>
        <charset val="204"/>
        <scheme val="minor"/>
      </rPr>
      <t>8</t>
    </r>
  </si>
  <si>
    <t>Verkehr Hersteller</t>
  </si>
  <si>
    <t>BMW</t>
  </si>
  <si>
    <t>519003 DE</t>
  </si>
  <si>
    <t>Sonstige Dienstl. Kontrollen Analyse Prüf- Abnahme</t>
  </si>
  <si>
    <t>FR</t>
  </si>
  <si>
    <t>Internet Neue Technologien Suchmaschine</t>
  </si>
  <si>
    <t>Baidu</t>
  </si>
  <si>
    <t>A0F5DE CN</t>
  </si>
  <si>
    <t>CN</t>
  </si>
  <si>
    <t>A2PA4R GB</t>
  </si>
  <si>
    <t>19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</si>
</sst>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4" fontId="9" fillId="0" borderId="0" xfId="0" applyNumberFormat="1" applyFont="1"/>
    <xf numFmtId="10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4" fillId="0" borderId="1" xfId="0" applyFont="1" applyFill="1" applyBorder="1"/>
    <xf numFmtId="0" fontId="3" fillId="0" borderId="1" xfId="0" applyFont="1" applyBorder="1"/>
    <xf numFmtId="0" fontId="2" fillId="0" borderId="1" xfId="0" applyFont="1" applyBorder="1"/>
  </cellXfs>
  <cellStyles count="248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9" t="s">
        <v>70</v>
      </c>
      <c r="S1" s="23" t="s">
        <v>74</v>
      </c>
      <c r="T1" s="53" t="s">
        <v>154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42.99</v>
      </c>
      <c r="O2" s="6">
        <f>N2</f>
        <v>42.99</v>
      </c>
      <c r="P2" s="6">
        <f t="shared" ref="P2:P11" si="1">L2*O2</f>
        <v>945.78000000000009</v>
      </c>
      <c r="Q2" s="7"/>
      <c r="R2" s="7">
        <f t="shared" ref="R2:R12" si="2">(P2-H2)/H2</f>
        <v>-5.3292226381854116E-2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85.36</v>
      </c>
      <c r="O3" s="6">
        <f>N3</f>
        <v>85.36</v>
      </c>
      <c r="P3" s="6">
        <f t="shared" si="1"/>
        <v>1365.76</v>
      </c>
      <c r="Q3" s="7">
        <f>(P2+P3)/P12</f>
        <v>0.1918396478005919</v>
      </c>
      <c r="R3" s="7">
        <f t="shared" si="2"/>
        <v>0.38571428571428568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139.62</v>
      </c>
      <c r="O4" s="6">
        <f>N4</f>
        <v>139.62</v>
      </c>
      <c r="P4" s="6">
        <f t="shared" si="1"/>
        <v>1256.58</v>
      </c>
      <c r="Q4" s="7"/>
      <c r="R4" s="7">
        <f t="shared" si="2"/>
        <v>0.23262999911715368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21.57</v>
      </c>
      <c r="O5" s="6">
        <f>N5*B19</f>
        <v>24.361158</v>
      </c>
      <c r="P5" s="6">
        <f t="shared" si="1"/>
        <v>974.44632000000001</v>
      </c>
      <c r="Q5" s="7">
        <f>(P4+P5)/P12</f>
        <v>0.18515764531985196</v>
      </c>
      <c r="R5" s="7">
        <f t="shared" si="2"/>
        <v>-1.9277053140096628E-2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99.11</v>
      </c>
      <c r="O6" s="6">
        <f>N6*B21</f>
        <v>65.759484999999998</v>
      </c>
      <c r="P6" s="6">
        <f t="shared" si="1"/>
        <v>1578.2276400000001</v>
      </c>
      <c r="Q6" s="7"/>
      <c r="R6" s="7">
        <f t="shared" si="2"/>
        <v>0.56869000477099241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38.25</v>
      </c>
      <c r="O7" s="6">
        <f>N7*B18</f>
        <v>34.042500000000004</v>
      </c>
      <c r="P7" s="6">
        <f t="shared" si="1"/>
        <v>1089.3600000000001</v>
      </c>
      <c r="Q7" s="7">
        <f>(P6+P7)/P12</f>
        <v>0.22138880284780368</v>
      </c>
      <c r="R7" s="7">
        <f t="shared" si="2"/>
        <v>9.7791035149951702E-2</v>
      </c>
      <c r="S7" s="7"/>
      <c r="T7" s="7">
        <v>0.03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191.08</v>
      </c>
      <c r="O8" s="6">
        <f>N8*B18</f>
        <v>170.06120000000001</v>
      </c>
      <c r="P8" s="6">
        <f t="shared" si="1"/>
        <v>1530.5508000000002</v>
      </c>
      <c r="Q8" s="7"/>
      <c r="R8" s="7">
        <f t="shared" si="2"/>
        <v>0.54755846755846782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82.66</v>
      </c>
      <c r="O9" s="6">
        <f>N9*B18</f>
        <v>73.567399999999992</v>
      </c>
      <c r="P9" s="6">
        <f t="shared" si="1"/>
        <v>1692.0501999999999</v>
      </c>
      <c r="Q9" s="7">
        <f>(P8+P9)/P12</f>
        <v>0.2674505484836236</v>
      </c>
      <c r="R9" s="7">
        <f t="shared" si="2"/>
        <v>0.66479746548992991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49.48</v>
      </c>
      <c r="O10" s="6">
        <f>N10*B18</f>
        <v>44.037199999999999</v>
      </c>
      <c r="P10" s="6">
        <f t="shared" si="1"/>
        <v>792.66959999999995</v>
      </c>
      <c r="Q10" s="7">
        <f>P10/P12</f>
        <v>6.5785345218441399E-2</v>
      </c>
      <c r="R10" s="7">
        <f t="shared" si="2"/>
        <v>-0.17948201975032618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236.64</v>
      </c>
      <c r="O11" s="6">
        <f>N11*B22</f>
        <v>22.267824000000001</v>
      </c>
      <c r="P11" s="6">
        <f t="shared" si="1"/>
        <v>823.90948800000001</v>
      </c>
      <c r="Q11" s="7">
        <f>P11/P12</f>
        <v>6.8378010329687572E-2</v>
      </c>
      <c r="R11" s="7">
        <f t="shared" si="2"/>
        <v>-0.16973064876957497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12049.334047999999</v>
      </c>
      <c r="Q12" s="12"/>
      <c r="R12" s="12">
        <f t="shared" si="2"/>
        <v>0.20979314385888101</v>
      </c>
      <c r="S12" s="12">
        <v>0.1149</v>
      </c>
      <c r="T12" s="12">
        <f>AVERAGE(T2:T11)</f>
        <v>1.8800000000000001E-2</v>
      </c>
    </row>
    <row r="13" spans="1:20">
      <c r="S13" s="6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2077.66</v>
      </c>
      <c r="O14" s="15"/>
      <c r="P14" s="15"/>
      <c r="Q14" s="16"/>
      <c r="R14" s="16">
        <f>(N14-K14)/K14</f>
        <v>6.6817969427942006E-2</v>
      </c>
      <c r="S14" s="16">
        <v>3.7699999999999997E-2</v>
      </c>
    </row>
    <row r="17" spans="1:3">
      <c r="A17" s="35" t="s">
        <v>117</v>
      </c>
      <c r="B17" s="48" t="s">
        <v>151</v>
      </c>
    </row>
    <row r="18" spans="1:3">
      <c r="A18" s="35" t="s">
        <v>22</v>
      </c>
      <c r="B18" s="35">
        <v>0.89</v>
      </c>
    </row>
    <row r="19" spans="1:3">
      <c r="A19" s="35" t="s">
        <v>120</v>
      </c>
      <c r="B19" s="1">
        <v>1.1294</v>
      </c>
    </row>
    <row r="20" spans="1:3">
      <c r="A20" s="35" t="s">
        <v>31</v>
      </c>
      <c r="B20" s="35">
        <v>8.2000000000000007E-3</v>
      </c>
    </row>
    <row r="21" spans="1:3">
      <c r="A21" s="35" t="s">
        <v>42</v>
      </c>
      <c r="B21" s="1">
        <v>0.66349999999999998</v>
      </c>
    </row>
    <row r="22" spans="1:3">
      <c r="A22" s="35" t="s">
        <v>50</v>
      </c>
      <c r="B22" s="35">
        <v>9.4100000000000003E-2</v>
      </c>
    </row>
    <row r="25" spans="1:3">
      <c r="A25" s="48" t="s">
        <v>125</v>
      </c>
      <c r="B25" s="49">
        <v>43621</v>
      </c>
      <c r="C25" s="56" t="s">
        <v>249</v>
      </c>
    </row>
    <row r="26" spans="1:3">
      <c r="A26" s="48" t="s">
        <v>126</v>
      </c>
      <c r="B26" s="2">
        <v>1.75</v>
      </c>
    </row>
    <row r="29" spans="1:3">
      <c r="A29" s="48" t="s">
        <v>152</v>
      </c>
    </row>
    <row r="30" spans="1:3">
      <c r="A30" s="48" t="s">
        <v>153</v>
      </c>
      <c r="B30" s="52">
        <v>1.2</v>
      </c>
    </row>
    <row r="31" spans="1:3">
      <c r="A31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4" sqref="T14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719.8</v>
      </c>
      <c r="O2" s="33">
        <f>N2*B19</f>
        <v>96.237260000000006</v>
      </c>
      <c r="P2" s="33">
        <f t="shared" ref="P2:P11" si="1">L2*O2</f>
        <v>1347.3216400000001</v>
      </c>
      <c r="Q2" s="31"/>
      <c r="R2" s="29"/>
      <c r="S2" s="31">
        <f t="shared" ref="S2:S12" si="2">(P2-H2)/H2</f>
        <v>0.33231431828737912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294</v>
      </c>
      <c r="O3" s="33">
        <f>N3</f>
        <v>294</v>
      </c>
      <c r="P3" s="33">
        <f t="shared" si="1"/>
        <v>588</v>
      </c>
      <c r="Q3" s="31">
        <f>(P2+P3)/P12</f>
        <v>0.1596996944571282</v>
      </c>
      <c r="R3" s="33"/>
      <c r="S3" s="31">
        <f t="shared" si="2"/>
        <v>-0.29411934185031963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450.5</v>
      </c>
      <c r="O4" s="33">
        <f>N4*B18</f>
        <v>403.24254999999999</v>
      </c>
      <c r="P4" s="33">
        <f t="shared" si="1"/>
        <v>1209.72765</v>
      </c>
      <c r="Q4" s="31"/>
      <c r="R4" s="33"/>
      <c r="S4" s="31">
        <f t="shared" si="2"/>
        <v>4.2247450927927373E-3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55.1</v>
      </c>
      <c r="O5" s="33">
        <f>N5</f>
        <v>55.1</v>
      </c>
      <c r="P5" s="33">
        <f t="shared" si="1"/>
        <v>991.80000000000007</v>
      </c>
      <c r="Q5" s="31"/>
      <c r="R5" s="33"/>
      <c r="S5" s="31">
        <f t="shared" si="2"/>
        <v>1.9558499713191416E-2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461.98</v>
      </c>
      <c r="O6" s="33">
        <f>N6*B17</f>
        <v>411.16220000000004</v>
      </c>
      <c r="P6" s="33">
        <f t="shared" si="1"/>
        <v>1644.6488000000002</v>
      </c>
      <c r="Q6" s="31">
        <f>(P4+P5+P6)/P12</f>
        <v>0.31738042462709298</v>
      </c>
      <c r="R6" s="33"/>
      <c r="S6" s="31">
        <f t="shared" si="2"/>
        <v>0.84011822951462944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1731.88</v>
      </c>
      <c r="O7" s="33">
        <f>N7*B17</f>
        <v>1541.3732000000002</v>
      </c>
      <c r="P7" s="33">
        <f t="shared" si="1"/>
        <v>1541.3732000000002</v>
      </c>
      <c r="Q7" s="31"/>
      <c r="R7" s="33"/>
      <c r="S7" s="31">
        <f t="shared" si="2"/>
        <v>0.87571327689545708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76.84</v>
      </c>
      <c r="O8" s="33">
        <f>N8*B17</f>
        <v>68.387600000000006</v>
      </c>
      <c r="P8" s="33">
        <f t="shared" si="1"/>
        <v>1709.69</v>
      </c>
      <c r="Q8" s="31">
        <f>(P7+P8)/P12</f>
        <v>0.26827261627726823</v>
      </c>
      <c r="R8" s="33"/>
      <c r="S8" s="31">
        <f t="shared" si="2"/>
        <v>0.68890360773485237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244.28</v>
      </c>
      <c r="O9" s="33">
        <f>N9*B17</f>
        <v>217.4092</v>
      </c>
      <c r="P9" s="33">
        <f t="shared" si="1"/>
        <v>869.63679999999999</v>
      </c>
      <c r="Q9" s="31">
        <f>(P9)/P12</f>
        <v>7.1761059442643702E-2</v>
      </c>
      <c r="R9" s="33"/>
      <c r="S9" s="31">
        <f t="shared" si="2"/>
        <v>-5.6071926185864318E-2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103.55</v>
      </c>
      <c r="O10" s="33">
        <f>N10</f>
        <v>103.55</v>
      </c>
      <c r="P10" s="33">
        <f t="shared" si="1"/>
        <v>1035.5</v>
      </c>
      <c r="Q10" s="31">
        <f>(P10)/P12</f>
        <v>8.5447829545458001E-2</v>
      </c>
      <c r="R10" s="33"/>
      <c r="S10" s="31">
        <f t="shared" si="2"/>
        <v>-2.0803782505910164E-2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53.07</v>
      </c>
      <c r="O11" s="33">
        <f>N11*B17</f>
        <v>47.232300000000002</v>
      </c>
      <c r="P11" s="33">
        <f t="shared" si="1"/>
        <v>1180.8075000000001</v>
      </c>
      <c r="Q11" s="31">
        <f>(P11)/P12</f>
        <v>9.7438375650408887E-2</v>
      </c>
      <c r="R11" s="33"/>
      <c r="S11" s="31">
        <f t="shared" si="2"/>
        <v>0.18033462843948156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12118.505590000001</v>
      </c>
      <c r="Q12" s="12">
        <f>SUM(Q2:Q11)</f>
        <v>1</v>
      </c>
      <c r="R12" s="11"/>
      <c r="S12" s="12">
        <f t="shared" si="2"/>
        <v>0.24564376958275658</v>
      </c>
      <c r="T12" s="12">
        <v>0.1406</v>
      </c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2077.66</v>
      </c>
      <c r="O14" s="41"/>
      <c r="P14" s="41"/>
      <c r="Q14" s="42"/>
      <c r="R14" s="41" t="s">
        <v>64</v>
      </c>
      <c r="S14" s="42">
        <f>(N14-K14)/K14</f>
        <v>3.317543086686562E-2</v>
      </c>
      <c r="T14" s="42">
        <v>1.9699999999999999E-2</v>
      </c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0.89</v>
      </c>
    </row>
    <row r="18" spans="1:3">
      <c r="A18" s="35" t="s">
        <v>90</v>
      </c>
      <c r="B18" s="35">
        <v>0.89510000000000001</v>
      </c>
    </row>
    <row r="19" spans="1:3">
      <c r="A19" s="35" t="s">
        <v>83</v>
      </c>
      <c r="B19" s="35">
        <v>0.13370000000000001</v>
      </c>
    </row>
    <row r="22" spans="1:3">
      <c r="A22" s="48" t="s">
        <v>125</v>
      </c>
      <c r="B22" s="49">
        <f>'170830_langfr_Geldanlage'!B25</f>
        <v>43621</v>
      </c>
      <c r="C22" s="56" t="str">
        <f>'170830_langfr_Geldanlage'!C25</f>
        <v>19 Uhr</v>
      </c>
    </row>
    <row r="23" spans="1:3">
      <c r="A23" s="48" t="s">
        <v>126</v>
      </c>
      <c r="B23" s="44">
        <v>1.67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5" sqref="T15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132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1" t="s">
        <v>128</v>
      </c>
      <c r="B2" s="51" t="s">
        <v>129</v>
      </c>
      <c r="C2" s="51" t="s">
        <v>130</v>
      </c>
      <c r="D2" s="51" t="s">
        <v>131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47.78</v>
      </c>
      <c r="O2" s="6">
        <f>N2*B21</f>
        <v>31.702030000000001</v>
      </c>
      <c r="P2" s="6">
        <f t="shared" ref="P2:P11" si="1">L2*O2</f>
        <v>1268.0812000000001</v>
      </c>
      <c r="Q2" s="7"/>
      <c r="R2" s="33"/>
      <c r="S2" s="7">
        <f>(P2-H2)/H2</f>
        <v>0.23625466432024703</v>
      </c>
      <c r="T2" s="7"/>
    </row>
    <row r="3" spans="1:20">
      <c r="A3" s="51" t="s">
        <v>133</v>
      </c>
      <c r="B3" s="51" t="s">
        <v>134</v>
      </c>
      <c r="C3" s="51" t="s">
        <v>135</v>
      </c>
      <c r="D3" s="51" t="s">
        <v>136</v>
      </c>
      <c r="E3" s="51" t="s">
        <v>29</v>
      </c>
      <c r="F3" s="51" t="s">
        <v>137</v>
      </c>
      <c r="G3" s="51" t="s">
        <v>16</v>
      </c>
      <c r="H3" s="6">
        <f t="shared" si="0"/>
        <v>946.80000000000007</v>
      </c>
      <c r="I3" s="7"/>
      <c r="J3" s="51" t="s">
        <v>138</v>
      </c>
      <c r="K3" s="6">
        <v>78.900000000000006</v>
      </c>
      <c r="L3" s="18">
        <v>12</v>
      </c>
      <c r="M3" s="6">
        <f>K3</f>
        <v>78.900000000000006</v>
      </c>
      <c r="N3" s="6">
        <v>113</v>
      </c>
      <c r="O3" s="6">
        <f>N3</f>
        <v>113</v>
      </c>
      <c r="P3" s="6">
        <f t="shared" si="1"/>
        <v>1356</v>
      </c>
      <c r="Q3" s="7"/>
      <c r="R3" s="26"/>
      <c r="S3" s="7">
        <f t="shared" ref="S3:S12" si="2">(P3-H3)/H3</f>
        <v>0.43219264892268683</v>
      </c>
      <c r="T3" s="7"/>
    </row>
    <row r="4" spans="1:20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42.99</v>
      </c>
      <c r="O4" s="6">
        <f>N4</f>
        <v>42.99</v>
      </c>
      <c r="P4" s="6">
        <f t="shared" si="1"/>
        <v>1074.75</v>
      </c>
      <c r="Q4" s="7"/>
      <c r="R4" s="28"/>
      <c r="S4" s="7">
        <f t="shared" si="2"/>
        <v>8.7803643724696234E-2</v>
      </c>
      <c r="T4" s="7"/>
    </row>
    <row r="5" spans="1:20">
      <c r="A5" s="51" t="s">
        <v>17</v>
      </c>
      <c r="B5" s="51" t="s">
        <v>139</v>
      </c>
      <c r="C5" s="51" t="s">
        <v>140</v>
      </c>
      <c r="D5" s="51" t="s">
        <v>141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82.32</v>
      </c>
      <c r="O5" s="6">
        <f>N5</f>
        <v>82.32</v>
      </c>
      <c r="P5" s="6">
        <f t="shared" si="1"/>
        <v>823.19999999999993</v>
      </c>
      <c r="Q5" s="7"/>
      <c r="R5" s="33"/>
      <c r="S5" s="7">
        <f t="shared" si="2"/>
        <v>-0.22921348314606749</v>
      </c>
      <c r="T5" s="7"/>
    </row>
    <row r="6" spans="1:20">
      <c r="A6" s="51" t="s">
        <v>25</v>
      </c>
      <c r="B6" s="51" t="s">
        <v>146</v>
      </c>
      <c r="C6" s="51" t="s">
        <v>144</v>
      </c>
      <c r="D6" s="51" t="s">
        <v>145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186.53</v>
      </c>
      <c r="O6" s="6">
        <f>N6*B18</f>
        <v>166.01169999999999</v>
      </c>
      <c r="P6" s="6">
        <f t="shared" si="1"/>
        <v>996.07019999999989</v>
      </c>
      <c r="Q6" s="7"/>
      <c r="R6" s="22"/>
      <c r="S6" s="7">
        <f t="shared" si="2"/>
        <v>-5.4008285573995944E-2</v>
      </c>
      <c r="T6" s="7"/>
    </row>
    <row r="7" spans="1:20">
      <c r="A7" s="51" t="s">
        <v>26</v>
      </c>
      <c r="B7" s="51" t="s">
        <v>147</v>
      </c>
      <c r="C7" s="51" t="s">
        <v>142</v>
      </c>
      <c r="D7" s="51" t="s">
        <v>148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149</v>
      </c>
      <c r="K7" s="6">
        <v>507.5</v>
      </c>
      <c r="L7" s="18">
        <v>2</v>
      </c>
      <c r="M7" s="6">
        <f>K7</f>
        <v>507.5</v>
      </c>
      <c r="N7" s="6">
        <v>574</v>
      </c>
      <c r="O7" s="6">
        <f>N7</f>
        <v>574</v>
      </c>
      <c r="P7" s="6">
        <f t="shared" si="1"/>
        <v>1148</v>
      </c>
      <c r="Q7" s="7"/>
      <c r="R7" s="28"/>
      <c r="S7" s="7">
        <f t="shared" si="2"/>
        <v>0.1310344827586207</v>
      </c>
      <c r="T7" s="7"/>
    </row>
    <row r="8" spans="1:20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150</v>
      </c>
      <c r="G8" s="51" t="s">
        <v>118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21.57</v>
      </c>
      <c r="O8" s="6">
        <f>N8*B19</f>
        <v>24.361158</v>
      </c>
      <c r="P8" s="6">
        <f t="shared" si="1"/>
        <v>1144.974426</v>
      </c>
      <c r="Q8" s="7"/>
      <c r="R8" s="33"/>
      <c r="S8" s="7">
        <f t="shared" si="2"/>
        <v>0.11673384629136842</v>
      </c>
      <c r="T8" s="7"/>
    </row>
    <row r="9" spans="1:20">
      <c r="A9" s="51" t="s">
        <v>46</v>
      </c>
      <c r="B9" s="51" t="s">
        <v>155</v>
      </c>
      <c r="C9" s="51" t="s">
        <v>156</v>
      </c>
      <c r="D9" s="51" t="s">
        <v>157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383</v>
      </c>
      <c r="O9" s="6">
        <f>N9</f>
        <v>383</v>
      </c>
      <c r="P9" s="6">
        <f t="shared" si="1"/>
        <v>766</v>
      </c>
      <c r="Q9" s="7"/>
      <c r="R9" s="33"/>
      <c r="S9" s="7">
        <f t="shared" si="2"/>
        <v>-0.15601586602027326</v>
      </c>
      <c r="T9" s="7"/>
    </row>
    <row r="10" spans="1:20">
      <c r="A10" s="51" t="s">
        <v>38</v>
      </c>
      <c r="B10" s="51" t="s">
        <v>158</v>
      </c>
      <c r="C10" s="51" t="s">
        <v>143</v>
      </c>
      <c r="D10" s="51" t="s">
        <v>159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160</v>
      </c>
      <c r="K10" s="6">
        <v>43.61</v>
      </c>
      <c r="L10" s="18">
        <v>28</v>
      </c>
      <c r="M10" s="6">
        <f>K10*0.8114</f>
        <v>35.385154</v>
      </c>
      <c r="N10" s="6">
        <v>54.39</v>
      </c>
      <c r="O10" s="6">
        <f>N10*B18</f>
        <v>48.4071</v>
      </c>
      <c r="P10" s="6">
        <f t="shared" si="1"/>
        <v>1355.3987999999999</v>
      </c>
      <c r="Q10" s="7"/>
      <c r="R10" s="28"/>
      <c r="S10" s="7">
        <f t="shared" si="2"/>
        <v>0.36800591570125701</v>
      </c>
      <c r="T10" s="7"/>
    </row>
    <row r="11" spans="1:20" ht="30">
      <c r="A11" s="51" t="s">
        <v>38</v>
      </c>
      <c r="B11" s="54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244.56</v>
      </c>
      <c r="O11" s="6">
        <f>N11*B18</f>
        <v>217.6584</v>
      </c>
      <c r="P11" s="6">
        <f t="shared" si="1"/>
        <v>870.6336</v>
      </c>
      <c r="Q11" s="7"/>
      <c r="R11" s="33"/>
      <c r="S11" s="7">
        <f t="shared" si="2"/>
        <v>-5.6552487063564569E-2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10803.108225999998</v>
      </c>
      <c r="Q12" s="12"/>
      <c r="R12" s="11"/>
      <c r="S12" s="12">
        <f t="shared" si="2"/>
        <v>8.6506497476793023E-2</v>
      </c>
      <c r="T12" s="12">
        <v>6.8599999999999994E-2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127</v>
      </c>
      <c r="K14" s="15">
        <v>2089.9699999999998</v>
      </c>
      <c r="L14" s="20"/>
      <c r="M14" s="15"/>
      <c r="N14" s="15">
        <f>'170830_langfr_Geldanlage'!N14</f>
        <v>2077.66</v>
      </c>
      <c r="O14" s="15"/>
      <c r="P14" s="15"/>
      <c r="Q14" s="16"/>
      <c r="R14" s="24" t="s">
        <v>64</v>
      </c>
      <c r="S14" s="16">
        <f>(N14-K14)/K14</f>
        <v>-5.8900366990913486E-3</v>
      </c>
      <c r="T14" s="16">
        <v>-4.5999999999999999E-3</v>
      </c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0.89</v>
      </c>
    </row>
    <row r="19" spans="1:3">
      <c r="A19" s="35" t="s">
        <v>120</v>
      </c>
      <c r="B19" s="1">
        <f>'170830_langfr_Geldanlage'!B19</f>
        <v>1.1294</v>
      </c>
    </row>
    <row r="20" spans="1:3">
      <c r="A20" s="48" t="s">
        <v>14</v>
      </c>
      <c r="B20" s="35">
        <v>0.62029999999999996</v>
      </c>
    </row>
    <row r="21" spans="1:3">
      <c r="A21" s="35" t="s">
        <v>42</v>
      </c>
      <c r="B21" s="1">
        <f>'170830_langfr_Geldanlage'!B21</f>
        <v>0.66349999999999998</v>
      </c>
    </row>
    <row r="24" spans="1:3">
      <c r="A24" s="48" t="s">
        <v>125</v>
      </c>
      <c r="B24" s="49">
        <f>'170830_langfr_Geldanlage'!B25</f>
        <v>43621</v>
      </c>
      <c r="C24" s="55" t="str">
        <f>'171004_langfr_Geldanlage'!C22</f>
        <v>19 Uhr</v>
      </c>
    </row>
    <row r="25" spans="1:3">
      <c r="A25" s="48" t="s">
        <v>126</v>
      </c>
      <c r="B25" s="2">
        <v>1.25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4" sqref="T14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0" t="s">
        <v>173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58" t="s">
        <v>133</v>
      </c>
      <c r="B2" s="59" t="s">
        <v>178</v>
      </c>
      <c r="C2" s="58" t="s">
        <v>164</v>
      </c>
      <c r="D2" s="58" t="s">
        <v>166</v>
      </c>
      <c r="E2" s="58" t="s">
        <v>10</v>
      </c>
      <c r="F2" s="58" t="s">
        <v>15</v>
      </c>
      <c r="G2" s="58" t="s">
        <v>16</v>
      </c>
      <c r="H2" s="6">
        <f t="shared" ref="H2:H10" si="0">M2*L2</f>
        <v>1046.6500000000001</v>
      </c>
      <c r="I2" s="7">
        <f>H2/H11</f>
        <v>0.11321168800391755</v>
      </c>
      <c r="J2" s="58" t="s">
        <v>163</v>
      </c>
      <c r="K2" s="6">
        <v>95.15</v>
      </c>
      <c r="L2" s="18">
        <v>11</v>
      </c>
      <c r="M2" s="6">
        <f>K2</f>
        <v>95.15</v>
      </c>
      <c r="N2" s="6">
        <v>86.4</v>
      </c>
      <c r="O2" s="6">
        <f>N2</f>
        <v>86.4</v>
      </c>
      <c r="P2" s="6">
        <f t="shared" ref="P2:P10" si="1">L2*O2</f>
        <v>950.40000000000009</v>
      </c>
      <c r="Q2" s="7"/>
      <c r="R2" s="26"/>
      <c r="S2" s="7">
        <f t="shared" ref="S2:S11" si="2">(P2-H2)/H2</f>
        <v>-9.1960063058328947E-2</v>
      </c>
      <c r="T2" s="7"/>
    </row>
    <row r="3" spans="1:20" ht="30">
      <c r="A3" s="58" t="s">
        <v>4</v>
      </c>
      <c r="B3" s="59" t="s">
        <v>182</v>
      </c>
      <c r="C3" s="59" t="s">
        <v>183</v>
      </c>
      <c r="D3" s="58" t="s">
        <v>184</v>
      </c>
      <c r="E3" s="58" t="s">
        <v>20</v>
      </c>
      <c r="F3" s="58" t="s">
        <v>21</v>
      </c>
      <c r="G3" s="58" t="s">
        <v>22</v>
      </c>
      <c r="H3" s="6">
        <f t="shared" si="0"/>
        <v>1011.1920280000001</v>
      </c>
      <c r="I3" s="7"/>
      <c r="J3" s="58" t="s">
        <v>185</v>
      </c>
      <c r="K3" s="6">
        <v>41.09</v>
      </c>
      <c r="L3" s="18">
        <v>28</v>
      </c>
      <c r="M3" s="6">
        <f>K3*0.8789</f>
        <v>36.114001000000002</v>
      </c>
      <c r="N3" s="6">
        <v>32.89</v>
      </c>
      <c r="O3" s="6">
        <f>N3*B17</f>
        <v>29.272100000000002</v>
      </c>
      <c r="P3" s="6">
        <f t="shared" si="1"/>
        <v>819.61880000000008</v>
      </c>
      <c r="Q3" s="7"/>
      <c r="R3" s="28"/>
      <c r="S3" s="7">
        <f t="shared" si="2"/>
        <v>-0.18945286621662327</v>
      </c>
      <c r="T3" s="7"/>
    </row>
    <row r="4" spans="1:20">
      <c r="A4" s="58" t="s">
        <v>4</v>
      </c>
      <c r="B4" s="58" t="s">
        <v>186</v>
      </c>
      <c r="C4" s="58" t="s">
        <v>187</v>
      </c>
      <c r="D4" s="58" t="s">
        <v>188</v>
      </c>
      <c r="E4" s="58" t="s">
        <v>10</v>
      </c>
      <c r="F4" s="58" t="s">
        <v>89</v>
      </c>
      <c r="G4" s="58" t="s">
        <v>90</v>
      </c>
      <c r="H4" s="6">
        <f t="shared" si="0"/>
        <v>994.99572000000012</v>
      </c>
      <c r="I4" s="7">
        <f>(H3+H4)/H11</f>
        <v>0.21700081345612954</v>
      </c>
      <c r="J4" s="58" t="s">
        <v>198</v>
      </c>
      <c r="K4" s="6">
        <v>66.45</v>
      </c>
      <c r="L4" s="18">
        <v>17</v>
      </c>
      <c r="M4" s="6">
        <f>K4*0.8808</f>
        <v>58.529160000000005</v>
      </c>
      <c r="N4" s="6">
        <v>66.45</v>
      </c>
      <c r="O4" s="6">
        <f>N4*B19</f>
        <v>59.479395000000004</v>
      </c>
      <c r="P4" s="6">
        <f t="shared" si="1"/>
        <v>1011.149715</v>
      </c>
      <c r="Q4" s="7"/>
      <c r="R4" s="33"/>
      <c r="S4" s="7">
        <f t="shared" si="2"/>
        <v>1.6235240690281455E-2</v>
      </c>
      <c r="T4" s="7"/>
    </row>
    <row r="5" spans="1:20">
      <c r="A5" s="58" t="s">
        <v>121</v>
      </c>
      <c r="B5" s="58" t="s">
        <v>190</v>
      </c>
      <c r="C5" s="58" t="s">
        <v>189</v>
      </c>
      <c r="D5" s="58" t="s">
        <v>191</v>
      </c>
      <c r="E5" s="58" t="s">
        <v>20</v>
      </c>
      <c r="F5" s="58" t="s">
        <v>21</v>
      </c>
      <c r="G5" s="58" t="s">
        <v>22</v>
      </c>
      <c r="H5" s="6">
        <f t="shared" si="0"/>
        <v>1017.9771360000001</v>
      </c>
      <c r="I5" s="7">
        <f>H5/H11</f>
        <v>0.11011026600673916</v>
      </c>
      <c r="J5" s="58" t="s">
        <v>192</v>
      </c>
      <c r="K5" s="6">
        <v>60.96</v>
      </c>
      <c r="L5" s="18">
        <v>19</v>
      </c>
      <c r="M5" s="6">
        <f>K5*0.8789</f>
        <v>53.577744000000003</v>
      </c>
      <c r="N5" s="6">
        <v>81.099999999999994</v>
      </c>
      <c r="O5" s="6">
        <f>N5*B17</f>
        <v>72.179000000000002</v>
      </c>
      <c r="P5" s="6">
        <f t="shared" si="1"/>
        <v>1371.4010000000001</v>
      </c>
      <c r="Q5" s="7"/>
      <c r="R5" s="22"/>
      <c r="S5" s="7">
        <f t="shared" si="2"/>
        <v>0.3471825166808068</v>
      </c>
      <c r="T5" s="7"/>
    </row>
    <row r="6" spans="1:20">
      <c r="A6" s="58" t="s">
        <v>170</v>
      </c>
      <c r="B6" s="58" t="s">
        <v>176</v>
      </c>
      <c r="C6" s="58" t="s">
        <v>171</v>
      </c>
      <c r="D6" s="58" t="s">
        <v>172</v>
      </c>
      <c r="E6" s="58" t="s">
        <v>29</v>
      </c>
      <c r="F6" s="58" t="s">
        <v>108</v>
      </c>
      <c r="G6" s="58" t="s">
        <v>22</v>
      </c>
      <c r="H6" s="6">
        <f t="shared" si="0"/>
        <v>1058.1340770000002</v>
      </c>
      <c r="I6" s="7">
        <f>H6/H11</f>
        <v>0.11445387186895073</v>
      </c>
      <c r="J6" s="58" t="s">
        <v>174</v>
      </c>
      <c r="K6" s="6">
        <v>171.99</v>
      </c>
      <c r="L6" s="18">
        <v>7</v>
      </c>
      <c r="M6" s="6">
        <f>K6*0.8789</f>
        <v>151.16201100000001</v>
      </c>
      <c r="N6" s="6">
        <v>151.07</v>
      </c>
      <c r="O6" s="6">
        <f>N6*B17</f>
        <v>134.45230000000001</v>
      </c>
      <c r="P6" s="6">
        <f t="shared" si="1"/>
        <v>941.16610000000003</v>
      </c>
      <c r="Q6" s="7"/>
      <c r="R6" s="28"/>
      <c r="S6" s="7">
        <f t="shared" si="2"/>
        <v>-0.11054173525119361</v>
      </c>
      <c r="T6" s="7"/>
    </row>
    <row r="7" spans="1:20" ht="30">
      <c r="A7" s="58" t="s">
        <v>26</v>
      </c>
      <c r="B7" s="59" t="s">
        <v>177</v>
      </c>
      <c r="C7" s="58" t="s">
        <v>167</v>
      </c>
      <c r="D7" s="58" t="s">
        <v>168</v>
      </c>
      <c r="E7" s="58" t="s">
        <v>20</v>
      </c>
      <c r="F7" s="58" t="s">
        <v>21</v>
      </c>
      <c r="G7" s="58" t="s">
        <v>22</v>
      </c>
      <c r="H7" s="6">
        <f t="shared" si="0"/>
        <v>1071.2912100000001</v>
      </c>
      <c r="I7" s="7"/>
      <c r="J7" s="58" t="s">
        <v>169</v>
      </c>
      <c r="K7" s="6">
        <v>203.15</v>
      </c>
      <c r="L7" s="18">
        <v>6</v>
      </c>
      <c r="M7" s="6">
        <f>K7*0.8789</f>
        <v>178.54853500000002</v>
      </c>
      <c r="N7" s="6">
        <v>163.51</v>
      </c>
      <c r="O7" s="6">
        <f>N7*B17</f>
        <v>145.5239</v>
      </c>
      <c r="P7" s="6">
        <f t="shared" si="1"/>
        <v>873.14339999999993</v>
      </c>
      <c r="Q7" s="7"/>
      <c r="R7" s="33"/>
      <c r="S7" s="7">
        <f t="shared" si="2"/>
        <v>-0.18496166882579027</v>
      </c>
      <c r="T7" s="7"/>
    </row>
    <row r="8" spans="1:20" ht="30">
      <c r="A8" s="58" t="s">
        <v>26</v>
      </c>
      <c r="B8" s="59" t="s">
        <v>193</v>
      </c>
      <c r="C8" s="58" t="s">
        <v>194</v>
      </c>
      <c r="D8" s="58" t="s">
        <v>195</v>
      </c>
      <c r="E8" s="58" t="s">
        <v>10</v>
      </c>
      <c r="F8" s="58" t="s">
        <v>49</v>
      </c>
      <c r="G8" s="58" t="s">
        <v>50</v>
      </c>
      <c r="H8" s="6">
        <f t="shared" si="0"/>
        <v>1007.8210499999999</v>
      </c>
      <c r="I8" s="7">
        <f>(H7+H8)/H11</f>
        <v>0.22488874839176409</v>
      </c>
      <c r="J8" s="58" t="s">
        <v>196</v>
      </c>
      <c r="K8" s="6">
        <v>181.95</v>
      </c>
      <c r="L8" s="18">
        <v>58</v>
      </c>
      <c r="M8" s="6">
        <f>K8*0.0955</f>
        <v>17.376224999999998</v>
      </c>
      <c r="N8" s="6">
        <v>190.9</v>
      </c>
      <c r="O8" s="6">
        <f>N8*B20</f>
        <v>17.96369</v>
      </c>
      <c r="P8" s="6">
        <f t="shared" si="1"/>
        <v>1041.89402</v>
      </c>
      <c r="Q8" s="7"/>
      <c r="R8" s="33"/>
      <c r="S8" s="7">
        <f t="shared" si="2"/>
        <v>3.3808551627295402E-2</v>
      </c>
      <c r="T8" s="7"/>
    </row>
    <row r="9" spans="1:20" ht="30">
      <c r="A9" s="58" t="s">
        <v>38</v>
      </c>
      <c r="B9" s="59" t="s">
        <v>175</v>
      </c>
      <c r="C9" s="58" t="s">
        <v>179</v>
      </c>
      <c r="D9" s="58" t="s">
        <v>180</v>
      </c>
      <c r="E9" s="58" t="s">
        <v>29</v>
      </c>
      <c r="F9" s="58" t="s">
        <v>108</v>
      </c>
      <c r="G9" s="58" t="s">
        <v>22</v>
      </c>
      <c r="H9" s="6">
        <f t="shared" si="0"/>
        <v>1010.9107800000002</v>
      </c>
      <c r="I9" s="7"/>
      <c r="J9" s="58" t="s">
        <v>181</v>
      </c>
      <c r="K9" s="6">
        <v>42.6</v>
      </c>
      <c r="L9" s="18">
        <v>27</v>
      </c>
      <c r="M9" s="6">
        <f>K9*0.8789</f>
        <v>37.441140000000004</v>
      </c>
      <c r="N9" s="6">
        <v>41.82</v>
      </c>
      <c r="O9" s="6">
        <f>N9*B17</f>
        <v>37.219799999999999</v>
      </c>
      <c r="P9" s="6">
        <f t="shared" si="1"/>
        <v>1004.9345999999999</v>
      </c>
      <c r="Q9" s="7"/>
      <c r="R9" s="28"/>
      <c r="S9" s="7">
        <f t="shared" si="2"/>
        <v>-5.9116789713135965E-3</v>
      </c>
      <c r="T9" s="7"/>
    </row>
    <row r="10" spans="1:20" ht="30">
      <c r="A10" s="58" t="s">
        <v>38</v>
      </c>
      <c r="B10" s="59" t="s">
        <v>162</v>
      </c>
      <c r="C10" s="58" t="s">
        <v>161</v>
      </c>
      <c r="D10" s="58" t="s">
        <v>165</v>
      </c>
      <c r="E10" s="58" t="s">
        <v>20</v>
      </c>
      <c r="F10" s="58" t="s">
        <v>21</v>
      </c>
      <c r="G10" s="58" t="s">
        <v>22</v>
      </c>
      <c r="H10" s="6">
        <f t="shared" si="0"/>
        <v>1026.098172</v>
      </c>
      <c r="I10" s="7">
        <f>(H9+H10)/H11</f>
        <v>0.22033461227249898</v>
      </c>
      <c r="J10" s="58" t="s">
        <v>163</v>
      </c>
      <c r="K10" s="6">
        <v>64.86</v>
      </c>
      <c r="L10" s="18">
        <v>18</v>
      </c>
      <c r="M10" s="6">
        <f>K10*0.8789</f>
        <v>57.005454</v>
      </c>
      <c r="N10" s="6">
        <v>71.709999999999994</v>
      </c>
      <c r="O10" s="6">
        <f>N10*B17</f>
        <v>63.821899999999992</v>
      </c>
      <c r="P10" s="6">
        <f t="shared" si="1"/>
        <v>1148.7941999999998</v>
      </c>
      <c r="Q10" s="7"/>
      <c r="R10" s="33"/>
      <c r="S10" s="7">
        <f t="shared" si="2"/>
        <v>0.11957533045873105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9162.5018349999991</v>
      </c>
      <c r="Q11" s="12"/>
      <c r="R11" s="11"/>
      <c r="S11" s="12">
        <f t="shared" si="2"/>
        <v>-8.931066660925923E-3</v>
      </c>
      <c r="T11" s="12">
        <v>-1.0699999999999999E-2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7" t="s">
        <v>197</v>
      </c>
      <c r="K13" s="15">
        <v>2131.0500000000002</v>
      </c>
      <c r="L13" s="20"/>
      <c r="M13" s="15"/>
      <c r="N13" s="15">
        <f>'170830_langfr_Geldanlage'!N14</f>
        <v>2077.66</v>
      </c>
      <c r="O13" s="15"/>
      <c r="P13" s="15"/>
      <c r="Q13" s="16"/>
      <c r="R13" s="24" t="s">
        <v>64</v>
      </c>
      <c r="S13" s="16">
        <f>(N13-K13)/K13</f>
        <v>-2.5053377443044662E-2</v>
      </c>
      <c r="T13" s="16">
        <v>-2.9899999999999999E-2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0.89</v>
      </c>
    </row>
    <row r="18" spans="1:3">
      <c r="A18" s="35" t="s">
        <v>120</v>
      </c>
      <c r="B18" s="1">
        <f>'170830_langfr_Geldanlage'!B19</f>
        <v>1.1294</v>
      </c>
    </row>
    <row r="19" spans="1:3">
      <c r="A19" s="61" t="s">
        <v>90</v>
      </c>
      <c r="B19" s="35">
        <f>'171004_langfr_Geldanlage'!B18</f>
        <v>0.89510000000000001</v>
      </c>
    </row>
    <row r="20" spans="1:3">
      <c r="A20" s="61" t="s">
        <v>50</v>
      </c>
      <c r="B20" s="1">
        <f>'170830_langfr_Geldanlage'!B22</f>
        <v>9.4100000000000003E-2</v>
      </c>
    </row>
    <row r="23" spans="1:3">
      <c r="A23" s="48" t="s">
        <v>125</v>
      </c>
      <c r="B23" s="49">
        <f>'170830_langfr_Geldanlage'!B25</f>
        <v>43621</v>
      </c>
      <c r="C23" s="55" t="str">
        <f>'171004_langfr_Geldanlage'!C22</f>
        <v>19 Uhr</v>
      </c>
    </row>
    <row r="24" spans="1:3">
      <c r="A24" s="48" t="s">
        <v>126</v>
      </c>
      <c r="B24" s="2">
        <v>0.83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1" sqref="T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8" t="s">
        <v>231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 customHeight="1">
      <c r="A2" s="66" t="s">
        <v>4</v>
      </c>
      <c r="B2" s="65" t="s">
        <v>221</v>
      </c>
      <c r="C2" s="66" t="s">
        <v>222</v>
      </c>
      <c r="D2" s="66" t="s">
        <v>223</v>
      </c>
      <c r="E2" s="66" t="s">
        <v>10</v>
      </c>
      <c r="F2" s="66" t="s">
        <v>112</v>
      </c>
      <c r="G2" s="58" t="s">
        <v>16</v>
      </c>
      <c r="H2" s="6">
        <f t="shared" ref="H2:H10" si="0">M2*L2</f>
        <v>1033.3399999999999</v>
      </c>
      <c r="I2" s="7"/>
      <c r="J2" s="66" t="s">
        <v>224</v>
      </c>
      <c r="K2" s="6">
        <v>93.94</v>
      </c>
      <c r="L2" s="18">
        <v>11</v>
      </c>
      <c r="M2" s="6">
        <f>K2</f>
        <v>93.94</v>
      </c>
      <c r="N2" s="6">
        <v>102.2</v>
      </c>
      <c r="O2" s="6">
        <f>N2</f>
        <v>102.2</v>
      </c>
      <c r="P2" s="6">
        <f t="shared" ref="P2:P10" si="1">L2*O2</f>
        <v>1124.2</v>
      </c>
      <c r="Q2" s="7"/>
      <c r="R2" s="26"/>
      <c r="S2" s="7">
        <f t="shared" ref="S2:S11" si="2">(P2-H2)/H2</f>
        <v>8.7928464977645435E-2</v>
      </c>
      <c r="T2" s="7"/>
    </row>
    <row r="3" spans="1:20">
      <c r="A3" s="58" t="s">
        <v>4</v>
      </c>
      <c r="B3" s="65" t="s">
        <v>212</v>
      </c>
      <c r="C3" s="65" t="s">
        <v>213</v>
      </c>
      <c r="D3" s="66" t="s">
        <v>214</v>
      </c>
      <c r="E3" s="66" t="s">
        <v>10</v>
      </c>
      <c r="F3" s="66" t="s">
        <v>15</v>
      </c>
      <c r="G3" s="66" t="s">
        <v>16</v>
      </c>
      <c r="H3" s="6">
        <f t="shared" si="0"/>
        <v>1014.7500000000001</v>
      </c>
      <c r="I3" s="7">
        <f>(H2+H3)/H11</f>
        <v>0.22135271582297517</v>
      </c>
      <c r="J3" s="66" t="s">
        <v>215</v>
      </c>
      <c r="K3" s="6">
        <v>67.650000000000006</v>
      </c>
      <c r="L3" s="18">
        <v>15</v>
      </c>
      <c r="M3" s="6">
        <f>K3</f>
        <v>67.650000000000006</v>
      </c>
      <c r="N3" s="6">
        <v>61.28</v>
      </c>
      <c r="O3" s="6">
        <f>N3</f>
        <v>61.28</v>
      </c>
      <c r="P3" s="6">
        <f t="shared" si="1"/>
        <v>919.2</v>
      </c>
      <c r="Q3" s="7"/>
      <c r="R3" s="28"/>
      <c r="S3" s="7">
        <f t="shared" si="2"/>
        <v>-9.4161123429416169E-2</v>
      </c>
      <c r="T3" s="7"/>
    </row>
    <row r="4" spans="1:20">
      <c r="A4" s="64" t="s">
        <v>121</v>
      </c>
      <c r="B4" s="64" t="s">
        <v>208</v>
      </c>
      <c r="C4" s="64" t="s">
        <v>207</v>
      </c>
      <c r="D4" s="74" t="s">
        <v>248</v>
      </c>
      <c r="E4" s="64" t="s">
        <v>10</v>
      </c>
      <c r="F4" s="64" t="s">
        <v>34</v>
      </c>
      <c r="G4" s="64" t="s">
        <v>118</v>
      </c>
      <c r="H4" s="6">
        <f t="shared" si="0"/>
        <v>1024.740288</v>
      </c>
      <c r="I4" s="7">
        <f>(H4)/H11</f>
        <v>0.11075150299157639</v>
      </c>
      <c r="J4" s="66" t="s">
        <v>229</v>
      </c>
      <c r="K4" s="6">
        <v>41.47</v>
      </c>
      <c r="L4" s="18">
        <v>22</v>
      </c>
      <c r="M4" s="6">
        <f>K4*1.1232</f>
        <v>46.579104000000001</v>
      </c>
      <c r="N4" s="6">
        <v>50.23</v>
      </c>
      <c r="O4" s="6">
        <f>N4*B18</f>
        <v>56.729761999999994</v>
      </c>
      <c r="P4" s="6">
        <f t="shared" si="1"/>
        <v>1248.054764</v>
      </c>
      <c r="Q4" s="7"/>
      <c r="R4" s="33"/>
      <c r="S4" s="7">
        <f t="shared" si="2"/>
        <v>0.21792299826119457</v>
      </c>
      <c r="T4" s="7"/>
    </row>
    <row r="5" spans="1:20">
      <c r="A5" s="58" t="s">
        <v>121</v>
      </c>
      <c r="B5" s="64" t="s">
        <v>203</v>
      </c>
      <c r="C5" s="64" t="s">
        <v>204</v>
      </c>
      <c r="D5" s="64" t="s">
        <v>205</v>
      </c>
      <c r="E5" s="58" t="s">
        <v>20</v>
      </c>
      <c r="F5" s="58" t="s">
        <v>21</v>
      </c>
      <c r="G5" s="58" t="s">
        <v>22</v>
      </c>
      <c r="H5" s="6">
        <f t="shared" si="0"/>
        <v>1045.1644920000001</v>
      </c>
      <c r="I5" s="7">
        <f>H5/H11</f>
        <v>0.11295890258042381</v>
      </c>
      <c r="J5" s="64" t="s">
        <v>206</v>
      </c>
      <c r="K5" s="6">
        <v>66.39</v>
      </c>
      <c r="L5" s="18">
        <v>18</v>
      </c>
      <c r="M5" s="6">
        <f>K5*0.8746</f>
        <v>58.064694000000003</v>
      </c>
      <c r="N5" s="6">
        <v>70.569999999999993</v>
      </c>
      <c r="O5" s="6">
        <f>N5*B17</f>
        <v>62.807299999999998</v>
      </c>
      <c r="P5" s="6">
        <f t="shared" si="1"/>
        <v>1130.5313999999998</v>
      </c>
      <c r="Q5" s="7"/>
      <c r="R5" s="22"/>
      <c r="S5" s="7">
        <f t="shared" si="2"/>
        <v>8.167796423761374E-2</v>
      </c>
      <c r="T5" s="7"/>
    </row>
    <row r="6" spans="1:20">
      <c r="A6" s="58" t="s">
        <v>170</v>
      </c>
      <c r="B6" s="66" t="s">
        <v>217</v>
      </c>
      <c r="C6" s="66" t="s">
        <v>218</v>
      </c>
      <c r="D6" s="66" t="s">
        <v>219</v>
      </c>
      <c r="E6" s="66" t="s">
        <v>10</v>
      </c>
      <c r="F6" s="66" t="s">
        <v>112</v>
      </c>
      <c r="G6" s="66" t="s">
        <v>16</v>
      </c>
      <c r="H6" s="6">
        <f t="shared" si="0"/>
        <v>1020.6</v>
      </c>
      <c r="I6" s="7">
        <f>H6/H11</f>
        <v>0.1103040304717705</v>
      </c>
      <c r="J6" s="66" t="s">
        <v>220</v>
      </c>
      <c r="K6" s="6">
        <v>255.15</v>
      </c>
      <c r="L6" s="18">
        <v>4</v>
      </c>
      <c r="M6" s="6">
        <f>K6</f>
        <v>255.15</v>
      </c>
      <c r="N6" s="6">
        <v>349.85</v>
      </c>
      <c r="O6" s="6">
        <f>N6</f>
        <v>349.85</v>
      </c>
      <c r="P6" s="6">
        <f t="shared" si="1"/>
        <v>1399.4</v>
      </c>
      <c r="Q6" s="7"/>
      <c r="R6" s="28"/>
      <c r="S6" s="7">
        <f t="shared" si="2"/>
        <v>0.37115422300607492</v>
      </c>
      <c r="T6" s="7"/>
    </row>
    <row r="7" spans="1:20" ht="30" customHeight="1">
      <c r="A7" s="58" t="s">
        <v>26</v>
      </c>
      <c r="B7" s="63" t="s">
        <v>202</v>
      </c>
      <c r="C7" s="64" t="s">
        <v>142</v>
      </c>
      <c r="D7" s="64" t="s">
        <v>148</v>
      </c>
      <c r="E7" s="64" t="s">
        <v>10</v>
      </c>
      <c r="F7" s="64" t="s">
        <v>15</v>
      </c>
      <c r="G7" s="64" t="s">
        <v>16</v>
      </c>
      <c r="H7" s="6">
        <f t="shared" si="0"/>
        <v>1027</v>
      </c>
      <c r="I7" s="7"/>
      <c r="J7" s="66" t="s">
        <v>230</v>
      </c>
      <c r="K7" s="6">
        <v>513.5</v>
      </c>
      <c r="L7" s="18">
        <v>2</v>
      </c>
      <c r="M7" s="6">
        <f>K7</f>
        <v>513.5</v>
      </c>
      <c r="N7" s="6">
        <v>574</v>
      </c>
      <c r="O7" s="6">
        <f>N7</f>
        <v>574</v>
      </c>
      <c r="P7" s="6">
        <f t="shared" si="1"/>
        <v>1148</v>
      </c>
      <c r="Q7" s="7"/>
      <c r="R7" s="33"/>
      <c r="S7" s="7">
        <f t="shared" si="2"/>
        <v>0.11781888997078871</v>
      </c>
      <c r="T7" s="7"/>
    </row>
    <row r="8" spans="1:20" ht="30">
      <c r="A8" s="58" t="s">
        <v>26</v>
      </c>
      <c r="B8" s="63" t="s">
        <v>199</v>
      </c>
      <c r="C8" s="64" t="s">
        <v>200</v>
      </c>
      <c r="D8" s="64" t="s">
        <v>201</v>
      </c>
      <c r="E8" s="58" t="s">
        <v>10</v>
      </c>
      <c r="F8" s="64" t="s">
        <v>89</v>
      </c>
      <c r="G8" s="64" t="s">
        <v>90</v>
      </c>
      <c r="H8" s="6">
        <f t="shared" si="0"/>
        <v>1049.1519000000001</v>
      </c>
      <c r="I8" s="7">
        <f>(H7+H8)/H11</f>
        <v>0.22438557950384497</v>
      </c>
      <c r="J8" s="66" t="s">
        <v>233</v>
      </c>
      <c r="K8" s="6">
        <v>198.5</v>
      </c>
      <c r="L8" s="18">
        <v>6</v>
      </c>
      <c r="M8" s="6">
        <f>K8*0.8809</f>
        <v>174.85865000000001</v>
      </c>
      <c r="N8" s="6">
        <v>214.9</v>
      </c>
      <c r="O8" s="6">
        <f>N8*B19</f>
        <v>192.35699</v>
      </c>
      <c r="P8" s="6">
        <f t="shared" si="1"/>
        <v>1154.14194</v>
      </c>
      <c r="Q8" s="7"/>
      <c r="R8" s="33"/>
      <c r="S8" s="7">
        <f t="shared" si="2"/>
        <v>0.10007134333931998</v>
      </c>
      <c r="T8" s="7"/>
    </row>
    <row r="9" spans="1:20">
      <c r="A9" s="64" t="s">
        <v>46</v>
      </c>
      <c r="B9" s="63" t="s">
        <v>209</v>
      </c>
      <c r="C9" s="64" t="s">
        <v>210</v>
      </c>
      <c r="D9" s="64" t="s">
        <v>211</v>
      </c>
      <c r="E9" s="64" t="s">
        <v>20</v>
      </c>
      <c r="F9" s="64" t="s">
        <v>21</v>
      </c>
      <c r="G9" s="58" t="s">
        <v>22</v>
      </c>
      <c r="H9" s="6">
        <f t="shared" si="0"/>
        <v>1085.3436160000001</v>
      </c>
      <c r="I9" s="7">
        <f>(H9)/H11</f>
        <v>0.11730136712875326</v>
      </c>
      <c r="J9" s="66" t="s">
        <v>234</v>
      </c>
      <c r="K9" s="6">
        <v>177.28</v>
      </c>
      <c r="L9" s="18">
        <v>7</v>
      </c>
      <c r="M9" s="6">
        <f>K9*0.8746</f>
        <v>155.04908800000001</v>
      </c>
      <c r="N9" s="6">
        <v>218.8</v>
      </c>
      <c r="O9" s="6">
        <f>N9*B17</f>
        <v>194.732</v>
      </c>
      <c r="P9" s="6">
        <f t="shared" si="1"/>
        <v>1363.124</v>
      </c>
      <c r="Q9" s="7"/>
      <c r="R9" s="28"/>
      <c r="S9" s="7">
        <f t="shared" si="2"/>
        <v>0.25593773244251511</v>
      </c>
      <c r="T9" s="7"/>
    </row>
    <row r="10" spans="1:20">
      <c r="A10" s="58" t="s">
        <v>38</v>
      </c>
      <c r="B10" s="65" t="s">
        <v>225</v>
      </c>
      <c r="C10" s="66" t="s">
        <v>216</v>
      </c>
      <c r="D10" s="66" t="s">
        <v>226</v>
      </c>
      <c r="E10" s="66" t="s">
        <v>20</v>
      </c>
      <c r="F10" s="66" t="s">
        <v>21</v>
      </c>
      <c r="G10" s="58" t="s">
        <v>22</v>
      </c>
      <c r="H10" s="6">
        <f t="shared" si="0"/>
        <v>952.5181140000002</v>
      </c>
      <c r="I10" s="7">
        <f>H10/H11</f>
        <v>0.10294590150065587</v>
      </c>
      <c r="J10" s="66" t="s">
        <v>227</v>
      </c>
      <c r="K10" s="6">
        <v>121.01</v>
      </c>
      <c r="L10" s="18">
        <v>9</v>
      </c>
      <c r="M10" s="6">
        <f>K10*0.8746</f>
        <v>105.83534600000002</v>
      </c>
      <c r="N10" s="6">
        <v>155.88999999999999</v>
      </c>
      <c r="O10" s="6">
        <f>N10*B17</f>
        <v>138.74209999999999</v>
      </c>
      <c r="P10" s="6">
        <f t="shared" si="1"/>
        <v>1248.6788999999999</v>
      </c>
      <c r="Q10" s="7"/>
      <c r="R10" s="33"/>
      <c r="S10" s="7">
        <f t="shared" si="2"/>
        <v>0.31092404611215574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10735.331004</v>
      </c>
      <c r="Q11" s="12"/>
      <c r="R11" s="11"/>
      <c r="S11" s="12">
        <f t="shared" si="2"/>
        <v>0.16024914578655544</v>
      </c>
      <c r="T11" s="12">
        <v>0.34599999999999997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7" t="s">
        <v>228</v>
      </c>
      <c r="K13" s="15">
        <v>2009.6</v>
      </c>
      <c r="L13" s="20"/>
      <c r="M13" s="15"/>
      <c r="N13" s="15">
        <f>'170830_langfr_Geldanlage'!N14</f>
        <v>2077.66</v>
      </c>
      <c r="O13" s="15"/>
      <c r="P13" s="15"/>
      <c r="Q13" s="16"/>
      <c r="R13" s="24" t="s">
        <v>64</v>
      </c>
      <c r="S13" s="16">
        <f>(N13-K13)/K13</f>
        <v>3.3867436305732461E-2</v>
      </c>
      <c r="T13" s="16">
        <v>6.88E-2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0.89</v>
      </c>
    </row>
    <row r="18" spans="1:3">
      <c r="A18" s="35" t="s">
        <v>120</v>
      </c>
      <c r="B18" s="1">
        <f>'170830_langfr_Geldanlage'!B19</f>
        <v>1.1294</v>
      </c>
    </row>
    <row r="19" spans="1:3">
      <c r="A19" s="61" t="s">
        <v>90</v>
      </c>
      <c r="B19" s="35">
        <f>'171004_langfr_Geldanlage'!B18</f>
        <v>0.89510000000000001</v>
      </c>
    </row>
    <row r="20" spans="1:3">
      <c r="A20" s="61" t="s">
        <v>50</v>
      </c>
      <c r="B20" s="1">
        <f>'170830_langfr_Geldanlage'!B22</f>
        <v>9.4100000000000003E-2</v>
      </c>
    </row>
    <row r="23" spans="1:3">
      <c r="A23" s="48" t="s">
        <v>125</v>
      </c>
      <c r="B23" s="49">
        <f>'170830_langfr_Geldanlage'!B25</f>
        <v>43621</v>
      </c>
      <c r="C23" s="69" t="s">
        <v>232</v>
      </c>
    </row>
    <row r="24" spans="1:3">
      <c r="A24" s="48" t="s">
        <v>126</v>
      </c>
      <c r="B24" s="2">
        <v>0.5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baseColWidth="10" defaultRowHeight="15" x14ac:dyDescent="0"/>
  <cols>
    <col min="1" max="1" width="19" style="35" bestFit="1" customWidth="1"/>
    <col min="2" max="2" width="43.1640625" style="35" bestFit="1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71" t="s">
        <v>238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70" t="s">
        <v>235</v>
      </c>
      <c r="C2" s="70" t="s">
        <v>236</v>
      </c>
      <c r="D2" s="70" t="s">
        <v>237</v>
      </c>
      <c r="E2" s="70" t="s">
        <v>20</v>
      </c>
      <c r="F2" s="70" t="s">
        <v>21</v>
      </c>
      <c r="G2" s="70" t="s">
        <v>22</v>
      </c>
      <c r="H2" s="33">
        <f t="shared" ref="H2:H5" si="0">L2*M2</f>
        <v>780.05989599999987</v>
      </c>
      <c r="I2" s="31">
        <f>(H2)/H6</f>
        <v>0.200457239617016</v>
      </c>
      <c r="J2" s="73" t="s">
        <v>75</v>
      </c>
      <c r="K2" s="33">
        <v>63.08</v>
      </c>
      <c r="L2" s="36">
        <v>14</v>
      </c>
      <c r="M2" s="33">
        <f>K2*0.8833</f>
        <v>55.718563999999994</v>
      </c>
      <c r="N2" s="33">
        <v>67.040000000000006</v>
      </c>
      <c r="O2" s="33">
        <f>N2*B11</f>
        <v>59.665600000000005</v>
      </c>
      <c r="P2" s="33">
        <f t="shared" ref="P2:P5" si="1">L2*O2</f>
        <v>835.31840000000011</v>
      </c>
      <c r="Q2" s="31"/>
      <c r="R2" s="29"/>
      <c r="S2" s="31">
        <f t="shared" ref="S2:S6" si="2">(P2-H2)/H2</f>
        <v>7.0838796204439475E-2</v>
      </c>
      <c r="T2" s="31"/>
    </row>
    <row r="3" spans="1:20">
      <c r="A3" s="70" t="s">
        <v>26</v>
      </c>
      <c r="B3" s="70" t="s">
        <v>239</v>
      </c>
      <c r="C3" s="72" t="s">
        <v>240</v>
      </c>
      <c r="D3" s="70" t="s">
        <v>241</v>
      </c>
      <c r="E3" s="70" t="s">
        <v>10</v>
      </c>
      <c r="F3" s="70" t="s">
        <v>119</v>
      </c>
      <c r="G3" s="70" t="s">
        <v>16</v>
      </c>
      <c r="H3" s="33">
        <f t="shared" si="0"/>
        <v>1010.4</v>
      </c>
      <c r="I3" s="31">
        <f>(H3)/H6</f>
        <v>0.25964928584026709</v>
      </c>
      <c r="J3" s="73" t="s">
        <v>53</v>
      </c>
      <c r="K3" s="33">
        <v>63.15</v>
      </c>
      <c r="L3" s="36">
        <v>16</v>
      </c>
      <c r="M3" s="33">
        <f>K3</f>
        <v>63.15</v>
      </c>
      <c r="N3" s="33">
        <v>53.7</v>
      </c>
      <c r="O3" s="33">
        <f>N3</f>
        <v>53.7</v>
      </c>
      <c r="P3" s="33">
        <f t="shared" si="1"/>
        <v>859.2</v>
      </c>
      <c r="Q3" s="31">
        <f>(P2+P3)/P6</f>
        <v>0.48156306996718568</v>
      </c>
      <c r="R3" s="33"/>
      <c r="S3" s="31">
        <f t="shared" si="2"/>
        <v>-0.14964370546318284</v>
      </c>
      <c r="T3" s="31"/>
    </row>
    <row r="4" spans="1:20">
      <c r="A4" s="70" t="s">
        <v>46</v>
      </c>
      <c r="B4" s="70" t="s">
        <v>242</v>
      </c>
      <c r="C4" s="72" t="s">
        <v>156</v>
      </c>
      <c r="D4" s="70" t="s">
        <v>157</v>
      </c>
      <c r="E4" s="70" t="s">
        <v>10</v>
      </c>
      <c r="F4" s="70" t="s">
        <v>243</v>
      </c>
      <c r="G4" s="70" t="s">
        <v>16</v>
      </c>
      <c r="H4" s="33">
        <f t="shared" si="0"/>
        <v>1007.4000000000001</v>
      </c>
      <c r="I4" s="31">
        <f>(H4)/H6</f>
        <v>0.25887835565665585</v>
      </c>
      <c r="J4" s="73" t="s">
        <v>53</v>
      </c>
      <c r="K4" s="33">
        <v>335.8</v>
      </c>
      <c r="L4" s="36">
        <v>3</v>
      </c>
      <c r="M4" s="33">
        <f>K4</f>
        <v>335.8</v>
      </c>
      <c r="N4" s="33">
        <v>383</v>
      </c>
      <c r="O4" s="33">
        <f>N4</f>
        <v>383</v>
      </c>
      <c r="P4" s="33">
        <f t="shared" si="1"/>
        <v>1149</v>
      </c>
      <c r="Q4" s="31">
        <f>(P4)/P6</f>
        <v>0.32653287647528423</v>
      </c>
      <c r="R4" s="33"/>
      <c r="S4" s="31">
        <f t="shared" si="2"/>
        <v>0.14055985705777238</v>
      </c>
      <c r="T4" s="31"/>
    </row>
    <row r="5" spans="1:20">
      <c r="A5" s="70" t="s">
        <v>38</v>
      </c>
      <c r="B5" s="70" t="s">
        <v>244</v>
      </c>
      <c r="C5" s="72" t="s">
        <v>245</v>
      </c>
      <c r="D5" s="70" t="s">
        <v>246</v>
      </c>
      <c r="E5" s="70" t="s">
        <v>29</v>
      </c>
      <c r="F5" s="70" t="s">
        <v>247</v>
      </c>
      <c r="G5" s="29" t="s">
        <v>22</v>
      </c>
      <c r="H5" s="33">
        <f t="shared" si="0"/>
        <v>1093.543066</v>
      </c>
      <c r="I5" s="31">
        <f>(H5)/H6</f>
        <v>0.28101511888606101</v>
      </c>
      <c r="J5" s="73" t="s">
        <v>53</v>
      </c>
      <c r="K5" s="33">
        <v>176.86</v>
      </c>
      <c r="L5" s="36">
        <v>7</v>
      </c>
      <c r="M5" s="33">
        <f>K5*0.8833</f>
        <v>156.220438</v>
      </c>
      <c r="N5" s="33">
        <v>108.39</v>
      </c>
      <c r="O5" s="33">
        <f>N5*B11</f>
        <v>96.467100000000002</v>
      </c>
      <c r="P5" s="33">
        <f t="shared" si="1"/>
        <v>675.26970000000006</v>
      </c>
      <c r="Q5" s="31">
        <f>(P5)/P6</f>
        <v>0.19190405355753024</v>
      </c>
      <c r="R5" s="33"/>
      <c r="S5" s="31">
        <f t="shared" si="2"/>
        <v>-0.3824937297896962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3891.4029620000001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3518.7880999999998</v>
      </c>
      <c r="Q6" s="12">
        <f>SUM(Q2:Q5)</f>
        <v>1.0000000000000002</v>
      </c>
      <c r="R6" s="11"/>
      <c r="S6" s="12">
        <f t="shared" si="2"/>
        <v>-9.5753347992646246E-2</v>
      </c>
      <c r="T6" s="12">
        <v>-0.21299999999999999</v>
      </c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1952.83</v>
      </c>
      <c r="L8" s="43"/>
      <c r="M8" s="41"/>
      <c r="N8" s="41">
        <f>'170830_langfr_Geldanlage'!N14</f>
        <v>2077.66</v>
      </c>
      <c r="O8" s="41"/>
      <c r="P8" s="41"/>
      <c r="Q8" s="42"/>
      <c r="R8" s="41" t="s">
        <v>64</v>
      </c>
      <c r="S8" s="42">
        <f>(N8-K8)/K8</f>
        <v>6.3922614871750189E-2</v>
      </c>
      <c r="T8" s="42">
        <v>0.15920000000000001</v>
      </c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0.89</v>
      </c>
    </row>
    <row r="12" spans="1:20">
      <c r="A12" s="35" t="s">
        <v>118</v>
      </c>
      <c r="B12" s="35">
        <f>'170830_langfr_Geldanlage'!B19</f>
        <v>1.1294</v>
      </c>
    </row>
    <row r="14" spans="1:20">
      <c r="A14" s="48" t="s">
        <v>125</v>
      </c>
      <c r="B14" s="49">
        <f>'170830_langfr_Geldanlage'!B25</f>
        <v>43621</v>
      </c>
      <c r="C14" s="56" t="str">
        <f>'170830_langfr_Geldanlage'!C25</f>
        <v>19 Uhr</v>
      </c>
    </row>
    <row r="15" spans="1:20">
      <c r="A15" s="48" t="s">
        <v>126</v>
      </c>
      <c r="B15" s="44">
        <v>0.42</v>
      </c>
    </row>
  </sheetData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  <vt:lpstr>181212_2019_Empfehlungsliste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2019-06-05T17:42:03Z</dcterms:modified>
</cp:coreProperties>
</file>