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6" l="1"/>
  <c r="R14" i="1"/>
  <c r="T11" i="9"/>
  <c r="N7" i="9"/>
  <c r="T11" i="7"/>
  <c r="U12" i="6"/>
  <c r="U12" i="2"/>
  <c r="N13" i="9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M3" i="9"/>
  <c r="H3" i="9"/>
  <c r="M6" i="9"/>
  <c r="H6" i="9"/>
  <c r="H11" i="9"/>
  <c r="I10" i="9"/>
  <c r="O6" i="9"/>
  <c r="O3" i="9"/>
  <c r="I3" i="9"/>
  <c r="I9" i="9"/>
  <c r="B18" i="9"/>
  <c r="O4" i="9"/>
  <c r="I4" i="9"/>
  <c r="O7" i="9"/>
  <c r="B19" i="9"/>
  <c r="O8" i="9"/>
  <c r="B23" i="9"/>
  <c r="B20" i="9"/>
  <c r="B17" i="9"/>
  <c r="R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R11" i="9"/>
  <c r="I5" i="9"/>
  <c r="I6" i="9"/>
  <c r="I8" i="9"/>
  <c r="I11" i="9"/>
  <c r="R10" i="9"/>
  <c r="R9" i="9"/>
  <c r="R8" i="9"/>
  <c r="R7" i="9"/>
  <c r="R6" i="9"/>
  <c r="R5" i="9"/>
  <c r="R4" i="9"/>
  <c r="R3" i="9"/>
  <c r="R2" i="9"/>
  <c r="B20" i="7"/>
  <c r="N13" i="7"/>
  <c r="M9" i="7"/>
  <c r="H9" i="7"/>
  <c r="M10" i="7"/>
  <c r="H10" i="7"/>
  <c r="M2" i="7"/>
  <c r="H2" i="7"/>
  <c r="M3" i="7"/>
  <c r="H3" i="7"/>
  <c r="M4" i="7"/>
  <c r="H4" i="7"/>
  <c r="M5" i="7"/>
  <c r="H5" i="7"/>
  <c r="M6" i="7"/>
  <c r="H6" i="7"/>
  <c r="M7" i="7"/>
  <c r="H7" i="7"/>
  <c r="M8" i="7"/>
  <c r="H8" i="7"/>
  <c r="H11" i="7"/>
  <c r="I10" i="7"/>
  <c r="I8" i="7"/>
  <c r="I6" i="7"/>
  <c r="I5" i="7"/>
  <c r="I4" i="7"/>
  <c r="I2" i="7"/>
  <c r="O8" i="7"/>
  <c r="B19" i="7"/>
  <c r="O4" i="7"/>
  <c r="B17" i="7"/>
  <c r="O3" i="7"/>
  <c r="O6" i="7"/>
  <c r="O7" i="7"/>
  <c r="C22" i="2"/>
  <c r="C23" i="7"/>
  <c r="B23" i="7"/>
  <c r="B18" i="7"/>
  <c r="R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R11" i="7"/>
  <c r="I11" i="7"/>
  <c r="R10" i="7"/>
  <c r="R9" i="7"/>
  <c r="R8" i="7"/>
  <c r="R7" i="7"/>
  <c r="R6" i="7"/>
  <c r="R5" i="7"/>
  <c r="R4" i="7"/>
  <c r="R3" i="7"/>
  <c r="R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<sst xmlns="http://schemas.openxmlformats.org/spreadsheetml/2006/main" count="536" uniqueCount="236">
  <si>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</si>
  <si>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</si>
  <si>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</si>
  <si>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</si>
  <si>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</si>
  <si>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</si>
  <si>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</si>
  <si>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</si>
  <si>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</si>
  <si>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</si>
  <si>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</si>
  <si>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</si>
  <si>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</si>
  <si>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</si>
  <si>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</si>
  <si>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</si>
  <si>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</si>
  <si>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</si>
  <si>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</si>
  <si>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</si>
  <si>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</si>
  <si>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</si>
  <si>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</si>
  <si>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</si>
  <si>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</si>
  <si>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</si>
  <si>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</si>
  <si>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</si>
  <si>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</si>
  <si>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</si>
  <si>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</si>
  <si>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</si>
  <si>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</si>
  <si>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</si>
  <si>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</si>
  <si>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</si>
  <si>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</si>
  <si>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</si>
  <si>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</si>
  <si>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</si>
  <si>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</si>
  <si>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</si>
  <si>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</si>
  <si>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</si>
  <si>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</si>
  <si>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</si>
  <si>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</si>
  <si>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</si>
  <si>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</si>
  <si>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</si>
  <si>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</si>
  <si>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</si>
  <si>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</si>
  <si>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</si>
  <si>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</si>
  <si>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</si>
  <si>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</si>
  <si>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</si>
  <si>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</si>
  <si>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</si>
  <si>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</si>
  <si>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</si>
  <si>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</si>
  <si>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</si>
  <si>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</si>
  <si>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</si>
  <si>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</si>
  <si>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</si>
  <si>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</si>
  <si>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</si>
  <si>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</si>
  <si>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</si>
  <si>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</si>
  <si>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</si>
  <si>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</si>
  <si>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</si>
  <si>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</si>
  <si>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</si>
  <si>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</si>
  <si>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</si>
  <si>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</si>
  <si>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</si>
  <si>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</si>
  <si>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</si>
  <si>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</si>
  <si>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</si>
  <si>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</si>
  <si>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</si>
  <si>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</si>
  <si>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</si>
  <si>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</si>
  <si>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</si>
  <si>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</si>
  <si>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</si>
  <si>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</si>
  <si>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</si>
  <si>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</si>
  <si>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</si>
  <si>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</si>
  <si>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</si>
  <si>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</si>
  <si>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</si>
  <si>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</si>
  <si>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</si>
  <si>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</si>
  <si>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</si>
  <si>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</si>
  <si>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</si>
  <si>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</si>
  <si>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</si>
  <si>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</si>
  <si>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</si>
  <si>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</si>
  <si>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</si>
  <si>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</si>
  <si>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</si>
  <si>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</si>
  <si>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</si>
  <si>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GBP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</si>
  <si>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</si>
  <si>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</si>
  <si>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</si>
  <si>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</si>
  <si>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</si>
  <si>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</si>
  <si>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</si>
  <si>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</si>
  <si>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</si>
  <si>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</si>
  <si>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</si>
  <si>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</si>
  <si>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</si>
  <si>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</si>
  <si>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</si>
  <si>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</si>
  <si>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</si>
  <si>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</si>
  <si>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</si>
  <si>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</si>
  <si>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</si>
  <si>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</si>
  <si>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</si>
  <si>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</si>
  <si>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</si>
  <si>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</si>
  <si>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</si>
  <si>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</si>
  <si>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</si>
  <si>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</si>
  <si>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</si>
  <si>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</si>
  <si>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</si>
  <si>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</si>
  <si>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</si>
  <si>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</si>
  <si>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</si>
  <si>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</si>
  <si>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</si>
  <si>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</si>
  <si>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</si>
  <si>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</si>
  <si>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</si>
  <si>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</si>
  <si>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</si>
  <si>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</si>
  <si>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</si>
  <si>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</si>
  <si>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</si>
  <si>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</si>
  <si>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</si>
  <si>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</si>
  <si>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</si>
  <si>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</si>
  <si>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</si>
  <si>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</si>
  <si>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</si>
  <si>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</si>
  <si>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</si>
  <si>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</si>
  <si>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</si>
  <si>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</si>
  <si>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</si>
  <si>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</si>
  <si>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</si>
  <si>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</si>
  <si>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</si>
  <si>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</si>
  <si>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</si>
  <si>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</si>
  <si>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</si>
  <si>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</si>
  <si>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</si>
  <si>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</si>
  <si>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</si>
  <si>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</si>
  <si>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</si>
  <si>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</si>
  <si>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</si>
  <si>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</si>
  <si>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</si>
  <si>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</si>
  <si>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</si>
  <si>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</si>
  <si>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</si>
  <si>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</si>
  <si>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</si>
  <si>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</si>
  <si>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</si>
  <si>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</si>
  <si>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</si>
  <si>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</si>
  <si>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</si>
  <si>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</si>
  <si>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</si>
  <si>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</si>
  <si>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</si>
  <si>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</si>
  <si>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</si>
  <si>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</si>
  <si>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</si>
  <si>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</si>
  <si>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</si>
  <si>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</si>
  <si>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</si>
  <si>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</si>
  <si>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</si>
  <si>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</si>
  <si>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</si>
  <si>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</si>
  <si>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</si>
  <si>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</si>
  <si>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</si>
  <si>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</si>
  <si>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A2PA4R GB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</si>
  <si>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aktuell</t>
    </r>
  </si>
  <si>
    <t>zwischen 21:30 und 22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</si>
</sst>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0">
    <xf numFmtId="0" fontId="0" fillId="0" borderId="0"/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13" fillId="0" borderId="0" xfId="0" applyFont="1"/>
    <xf numFmtId="4" fontId="13" fillId="0" borderId="0" xfId="0" applyNumberFormat="1" applyFont="1"/>
    <xf numFmtId="10" fontId="13" fillId="0" borderId="0" xfId="0" applyNumberFormat="1" applyFont="1"/>
    <xf numFmtId="0" fontId="15" fillId="0" borderId="0" xfId="0" applyFont="1"/>
    <xf numFmtId="0" fontId="13" fillId="0" borderId="1" xfId="0" applyFont="1" applyBorder="1"/>
    <xf numFmtId="4" fontId="13" fillId="0" borderId="1" xfId="0" applyNumberFormat="1" applyFont="1" applyBorder="1"/>
    <xf numFmtId="10" fontId="13" fillId="0" borderId="1" xfId="0" applyNumberFormat="1" applyFont="1" applyBorder="1"/>
    <xf numFmtId="4" fontId="13" fillId="0" borderId="1" xfId="0" applyNumberFormat="1" applyFont="1" applyBorder="1" applyAlignment="1">
      <alignment wrapText="1"/>
    </xf>
    <xf numFmtId="10" fontId="13" fillId="0" borderId="1" xfId="0" applyNumberFormat="1" applyFont="1" applyBorder="1" applyAlignment="1">
      <alignment wrapText="1"/>
    </xf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0" fontId="12" fillId="2" borderId="0" xfId="0" applyFont="1" applyFill="1"/>
    <xf numFmtId="0" fontId="13" fillId="2" borderId="0" xfId="0" applyFont="1" applyFill="1"/>
    <xf numFmtId="4" fontId="13" fillId="2" borderId="0" xfId="0" applyNumberFormat="1" applyFont="1" applyFill="1"/>
    <xf numFmtId="10" fontId="13" fillId="2" borderId="0" xfId="0" applyNumberFormat="1" applyFont="1" applyFill="1"/>
    <xf numFmtId="1" fontId="11" fillId="0" borderId="1" xfId="0" applyNumberFormat="1" applyFont="1" applyBorder="1" applyAlignment="1">
      <alignment wrapText="1"/>
    </xf>
    <xf numFmtId="1" fontId="13" fillId="0" borderId="1" xfId="0" applyNumberFormat="1" applyFont="1" applyBorder="1"/>
    <xf numFmtId="1" fontId="15" fillId="0" borderId="1" xfId="0" applyNumberFormat="1" applyFont="1" applyBorder="1"/>
    <xf numFmtId="1" fontId="13" fillId="2" borderId="0" xfId="0" applyNumberFormat="1" applyFont="1" applyFill="1"/>
    <xf numFmtId="1" fontId="13" fillId="0" borderId="0" xfId="0" applyNumberFormat="1" applyFont="1"/>
    <xf numFmtId="4" fontId="11" fillId="0" borderId="1" xfId="0" applyNumberFormat="1" applyFont="1" applyBorder="1"/>
    <xf numFmtId="10" fontId="11" fillId="0" borderId="1" xfId="0" applyNumberFormat="1" applyFont="1" applyBorder="1" applyAlignment="1">
      <alignment wrapText="1"/>
    </xf>
    <xf numFmtId="4" fontId="10" fillId="2" borderId="0" xfId="0" applyNumberFormat="1" applyFont="1" applyFill="1"/>
    <xf numFmtId="4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0" fontId="10" fillId="2" borderId="0" xfId="0" applyFont="1" applyFill="1"/>
    <xf numFmtId="4" fontId="9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 applyAlignment="1">
      <alignment wrapText="1"/>
    </xf>
    <xf numFmtId="10" fontId="8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10" fontId="8" fillId="0" borderId="1" xfId="0" applyNumberFormat="1" applyFont="1" applyBorder="1" applyAlignment="1">
      <alignment wrapText="1"/>
    </xf>
    <xf numFmtId="0" fontId="8" fillId="0" borderId="0" xfId="0" applyFont="1"/>
    <xf numFmtId="1" fontId="8" fillId="0" borderId="1" xfId="0" applyNumberFormat="1" applyFont="1" applyBorder="1"/>
    <xf numFmtId="0" fontId="8" fillId="0" borderId="1" xfId="0" applyFont="1" applyFill="1" applyBorder="1"/>
    <xf numFmtId="0" fontId="19" fillId="0" borderId="1" xfId="0" applyFont="1" applyBorder="1"/>
    <xf numFmtId="0" fontId="0" fillId="0" borderId="1" xfId="0" applyFont="1" applyBorder="1" applyAlignment="1">
      <alignment wrapText="1"/>
    </xf>
    <xf numFmtId="0" fontId="8" fillId="2" borderId="0" xfId="0" applyFont="1" applyFill="1"/>
    <xf numFmtId="4" fontId="8" fillId="2" borderId="0" xfId="0" applyNumberFormat="1" applyFont="1" applyFill="1"/>
    <xf numFmtId="10" fontId="8" fillId="2" borderId="0" xfId="0" applyNumberFormat="1" applyFont="1" applyFill="1"/>
    <xf numFmtId="1" fontId="8" fillId="2" borderId="0" xfId="0" applyNumberFormat="1" applyFont="1" applyFill="1"/>
    <xf numFmtId="4" fontId="8" fillId="0" borderId="0" xfId="0" applyNumberFormat="1" applyFont="1"/>
    <xf numFmtId="10" fontId="8" fillId="0" borderId="0" xfId="0" applyNumberFormat="1" applyFont="1"/>
    <xf numFmtId="1" fontId="8" fillId="0" borderId="0" xfId="0" applyNumberFormat="1" applyFont="1"/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4" fontId="13" fillId="0" borderId="0" xfId="0" applyNumberFormat="1" applyFont="1"/>
    <xf numFmtId="0" fontId="7" fillId="2" borderId="0" xfId="0" applyFont="1" applyFill="1"/>
    <xf numFmtId="0" fontId="7" fillId="0" borderId="1" xfId="0" applyFont="1" applyBorder="1"/>
    <xf numFmtId="4" fontId="7" fillId="0" borderId="0" xfId="0" applyNumberFormat="1" applyFont="1"/>
    <xf numFmtId="0" fontId="7" fillId="0" borderId="1" xfId="0" applyFont="1" applyBorder="1" applyAlignment="1">
      <alignment wrapText="1"/>
    </xf>
    <xf numFmtId="0" fontId="6" fillId="0" borderId="0" xfId="0" applyFont="1"/>
    <xf numFmtId="0" fontId="20" fillId="0" borderId="0" xfId="0" applyFont="1"/>
    <xf numFmtId="0" fontId="5" fillId="2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0" fontId="15" fillId="0" borderId="0" xfId="0" applyNumberFormat="1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0" xfId="0" applyFont="1" applyFill="1"/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10" fontId="2" fillId="0" borderId="1" xfId="0" applyNumberFormat="1" applyFont="1" applyBorder="1" applyAlignment="1">
      <alignment wrapText="1"/>
    </xf>
    <xf numFmtId="0" fontId="1" fillId="0" borderId="1" xfId="0" applyFont="1" applyBorder="1"/>
  </cellXfs>
  <cellStyles count="28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3" sqref="S13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121</v>
      </c>
      <c r="O1" s="47" t="s">
        <v>122</v>
      </c>
      <c r="P1" s="47" t="s">
        <v>123</v>
      </c>
      <c r="Q1" s="7" t="s">
        <v>3</v>
      </c>
      <c r="R1" s="9" t="s">
        <v>70</v>
      </c>
      <c r="S1" s="23" t="s">
        <v>74</v>
      </c>
      <c r="T1" s="69" t="s">
        <v>234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40.200000000000003</v>
      </c>
      <c r="O2" s="6">
        <f>N2</f>
        <v>40.200000000000003</v>
      </c>
      <c r="P2" s="6">
        <f t="shared" ref="P2:P11" si="1">L2*O2</f>
        <v>884.40000000000009</v>
      </c>
      <c r="Q2" s="7"/>
      <c r="R2" s="7">
        <f t="shared" ref="R2:R12" si="2">(P2-H2)/H2</f>
        <v>-0.11473243778903315</v>
      </c>
      <c r="S2" s="7"/>
      <c r="T2" s="7">
        <v>2.3757716659646648E-2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85.5</v>
      </c>
      <c r="O3" s="6">
        <f>N3</f>
        <v>85.5</v>
      </c>
      <c r="P3" s="6">
        <f t="shared" si="1"/>
        <v>1368</v>
      </c>
      <c r="Q3" s="7">
        <f>(P2+P3)/P12</f>
        <v>0.18042849525002386</v>
      </c>
      <c r="R3" s="7">
        <f t="shared" si="2"/>
        <v>0.38798701298701294</v>
      </c>
      <c r="S3" s="7"/>
      <c r="T3" s="7">
        <v>1.0091948867459071E-2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134.4</v>
      </c>
      <c r="O4" s="6">
        <f>N4</f>
        <v>134.4</v>
      </c>
      <c r="P4" s="6">
        <f t="shared" si="1"/>
        <v>1209.6000000000001</v>
      </c>
      <c r="Q4" s="7"/>
      <c r="R4" s="7">
        <f t="shared" si="2"/>
        <v>0.18654542244195305</v>
      </c>
      <c r="S4" s="7"/>
      <c r="T4" s="7">
        <v>9.6158952361242011E-3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19.88</v>
      </c>
      <c r="O5" s="6">
        <f>N5*B19</f>
        <v>22.108547999999999</v>
      </c>
      <c r="P5" s="6">
        <f t="shared" si="1"/>
        <v>884.34191999999996</v>
      </c>
      <c r="Q5" s="7">
        <f>(P4+P5)/P12</f>
        <v>0.16773521122648991</v>
      </c>
      <c r="R5" s="7">
        <f t="shared" si="2"/>
        <v>-0.10996183574879233</v>
      </c>
      <c r="S5" s="7"/>
      <c r="T5" s="7">
        <v>2.3623529411764706E-2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103.95</v>
      </c>
      <c r="O6" s="6">
        <f>N6*B21</f>
        <v>71.049824999999998</v>
      </c>
      <c r="P6" s="6">
        <f t="shared" si="1"/>
        <v>1705.1958</v>
      </c>
      <c r="Q6" s="7"/>
      <c r="R6" s="7">
        <f t="shared" si="2"/>
        <v>0.69489086354961827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48.97</v>
      </c>
      <c r="O7" s="6">
        <f>N7*B18</f>
        <v>44.626360999999996</v>
      </c>
      <c r="P7" s="6">
        <f t="shared" si="1"/>
        <v>1428.0435519999999</v>
      </c>
      <c r="Q7" s="7">
        <f>(P6+P7)/P12</f>
        <v>0.25098812890229077</v>
      </c>
      <c r="R7" s="7">
        <f t="shared" si="2"/>
        <v>0.43909580780393398</v>
      </c>
      <c r="S7" s="7"/>
      <c r="T7" s="7">
        <v>2.8829604130808952E-2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191.53</v>
      </c>
      <c r="O8" s="6">
        <f>N8*B18</f>
        <v>174.54128900000001</v>
      </c>
      <c r="P8" s="6">
        <f t="shared" si="1"/>
        <v>1570.8716010000001</v>
      </c>
      <c r="Q8" s="7"/>
      <c r="R8" s="7">
        <f t="shared" si="2"/>
        <v>0.58832731822731832</v>
      </c>
      <c r="S8" s="7"/>
      <c r="T8" s="7">
        <v>9.2910523126641092E-3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92.68</v>
      </c>
      <c r="O9" s="6">
        <f>N9*B18</f>
        <v>84.459284000000011</v>
      </c>
      <c r="P9" s="6">
        <f t="shared" si="1"/>
        <v>1942.5635320000004</v>
      </c>
      <c r="Q9" s="7">
        <f>(P8+P9)/P12</f>
        <v>0.2814437107999278</v>
      </c>
      <c r="R9" s="7">
        <f t="shared" si="2"/>
        <v>0.91127594478388829</v>
      </c>
      <c r="S9" s="7"/>
      <c r="T9" s="7">
        <v>9.5826235093696768E-3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42.38</v>
      </c>
      <c r="O10" s="6">
        <f>N10*B18</f>
        <v>38.620894</v>
      </c>
      <c r="P10" s="6">
        <f t="shared" si="1"/>
        <v>695.17609200000004</v>
      </c>
      <c r="Q10" s="7">
        <f>P10/P12</f>
        <v>5.5687078766361281E-2</v>
      </c>
      <c r="R10" s="7">
        <f t="shared" si="2"/>
        <v>-0.28040070803055711</v>
      </c>
      <c r="S10" s="7"/>
      <c r="T10" s="7">
        <v>8.019559902200489E-2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234.95</v>
      </c>
      <c r="O11" s="6">
        <f>N11*B22</f>
        <v>21.497924999999999</v>
      </c>
      <c r="P11" s="6">
        <f t="shared" si="1"/>
        <v>795.423225</v>
      </c>
      <c r="Q11" s="7">
        <f>P11/P12</f>
        <v>6.3717375054906392E-2</v>
      </c>
      <c r="R11" s="7">
        <f t="shared" si="2"/>
        <v>-0.1984368008948546</v>
      </c>
      <c r="S11" s="7"/>
      <c r="T11" s="7">
        <v>3.8625736938402114E-2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12483.615722</v>
      </c>
      <c r="Q12" s="12"/>
      <c r="R12" s="12">
        <f t="shared" si="2"/>
        <v>0.25339646580313124</v>
      </c>
      <c r="S12" s="12">
        <v>0.1147</v>
      </c>
      <c r="T12" s="12">
        <f>AVERAGE(T2:T11)</f>
        <v>2.3361370608824438E-2</v>
      </c>
    </row>
    <row r="13" spans="1:20">
      <c r="S13" s="61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2124.14</v>
      </c>
      <c r="O14" s="15"/>
      <c r="P14" s="15"/>
      <c r="Q14" s="16"/>
      <c r="R14" s="16">
        <f>(N14-K14)/K14</f>
        <v>9.0684097292467847E-2</v>
      </c>
      <c r="S14" s="16">
        <v>4.2599999999999999E-2</v>
      </c>
    </row>
    <row r="17" spans="1:3">
      <c r="A17" s="35" t="s">
        <v>117</v>
      </c>
      <c r="B17" s="48" t="s">
        <v>150</v>
      </c>
    </row>
    <row r="18" spans="1:3">
      <c r="A18" s="35" t="s">
        <v>22</v>
      </c>
      <c r="B18" s="35">
        <v>0.9113</v>
      </c>
    </row>
    <row r="19" spans="1:3">
      <c r="A19" s="35" t="s">
        <v>119</v>
      </c>
      <c r="B19" s="1">
        <v>1.1121000000000001</v>
      </c>
    </row>
    <row r="20" spans="1:3">
      <c r="A20" s="35" t="s">
        <v>31</v>
      </c>
      <c r="B20" s="35">
        <v>8.3999999999999995E-3</v>
      </c>
    </row>
    <row r="21" spans="1:3">
      <c r="A21" s="35" t="s">
        <v>42</v>
      </c>
      <c r="B21" s="1">
        <v>0.6835</v>
      </c>
    </row>
    <row r="22" spans="1:3">
      <c r="A22" s="35" t="s">
        <v>50</v>
      </c>
      <c r="B22" s="35">
        <v>9.1499999999999998E-2</v>
      </c>
    </row>
    <row r="25" spans="1:3">
      <c r="A25" s="48" t="s">
        <v>124</v>
      </c>
      <c r="B25" s="49">
        <v>43747</v>
      </c>
      <c r="C25" s="55" t="s">
        <v>235</v>
      </c>
    </row>
    <row r="26" spans="1:3">
      <c r="A26" s="48" t="s">
        <v>125</v>
      </c>
      <c r="B26" s="2">
        <v>2.08</v>
      </c>
    </row>
    <row r="29" spans="1:3">
      <c r="A29" s="48" t="s">
        <v>151</v>
      </c>
    </row>
    <row r="30" spans="1:3">
      <c r="A30" s="48" t="s">
        <v>152</v>
      </c>
      <c r="B30" s="52">
        <v>1.2</v>
      </c>
    </row>
    <row r="31" spans="1:3">
      <c r="A31" s="48"/>
    </row>
  </sheetData>
  <phoneticPr fontId="18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4" sqref="U14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6" style="44" bestFit="1" customWidth="1"/>
    <col min="19" max="19" width="11.83203125" style="45" customWidth="1"/>
    <col min="20" max="20" width="12.6640625" style="45" customWidth="1"/>
    <col min="21" max="21" width="12" style="3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121</v>
      </c>
      <c r="O1" s="47" t="s">
        <v>122</v>
      </c>
      <c r="P1" s="47" t="s">
        <v>123</v>
      </c>
      <c r="Q1" s="31" t="s">
        <v>3</v>
      </c>
      <c r="R1" s="29" t="s">
        <v>51</v>
      </c>
      <c r="S1" s="34" t="s">
        <v>70</v>
      </c>
      <c r="T1" s="34" t="s">
        <v>74</v>
      </c>
      <c r="U1" s="69" t="s">
        <v>234</v>
      </c>
    </row>
    <row r="2" spans="1:21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787.9</v>
      </c>
      <c r="O2" s="33">
        <f>N2*B19</f>
        <v>105.34223</v>
      </c>
      <c r="P2" s="33">
        <f t="shared" ref="P2:P11" si="1">L2*O2</f>
        <v>1474.7912200000001</v>
      </c>
      <c r="Q2" s="31"/>
      <c r="R2" s="29"/>
      <c r="S2" s="31">
        <f t="shared" ref="S2:S12" si="2">(P2-H2)/H2</f>
        <v>0.45836406137625169</v>
      </c>
      <c r="T2" s="31"/>
      <c r="U2" s="7">
        <v>2.0448935939618381E-2</v>
      </c>
    </row>
    <row r="3" spans="1:21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300</v>
      </c>
      <c r="O3" s="33">
        <f>N3</f>
        <v>300</v>
      </c>
      <c r="P3" s="33">
        <f t="shared" si="1"/>
        <v>600</v>
      </c>
      <c r="Q3" s="31">
        <f>(P2+P3)/P12</f>
        <v>0.1674631504230778</v>
      </c>
      <c r="R3" s="33"/>
      <c r="S3" s="31">
        <f t="shared" si="2"/>
        <v>-0.27971361413297924</v>
      </c>
      <c r="T3" s="31"/>
      <c r="U3" s="7">
        <v>2.364864864864865E-2</v>
      </c>
    </row>
    <row r="4" spans="1:21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460.3</v>
      </c>
      <c r="O4" s="33">
        <f>N4*B18</f>
        <v>420.99038000000002</v>
      </c>
      <c r="P4" s="33">
        <f t="shared" si="1"/>
        <v>1262.9711400000001</v>
      </c>
      <c r="Q4" s="31"/>
      <c r="R4" s="33"/>
      <c r="S4" s="31">
        <f t="shared" si="2"/>
        <v>4.8423478727673878E-2</v>
      </c>
      <c r="T4" s="31"/>
      <c r="U4" s="7">
        <v>2.2660645280002868E-2</v>
      </c>
    </row>
    <row r="5" spans="1:21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48.6</v>
      </c>
      <c r="O5" s="33">
        <f>N5</f>
        <v>48.6</v>
      </c>
      <c r="P5" s="33">
        <f t="shared" si="1"/>
        <v>874.80000000000007</v>
      </c>
      <c r="Q5" s="31"/>
      <c r="R5" s="33"/>
      <c r="S5" s="31">
        <f t="shared" si="2"/>
        <v>-0.10071609644172226</v>
      </c>
      <c r="T5" s="31"/>
      <c r="U5" s="7">
        <v>3.1775700934579439E-2</v>
      </c>
    </row>
    <row r="6" spans="1:21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509.88</v>
      </c>
      <c r="O6" s="33">
        <f>N6*B17</f>
        <v>464.65364399999999</v>
      </c>
      <c r="P6" s="33">
        <f t="shared" si="1"/>
        <v>1858.6145759999999</v>
      </c>
      <c r="Q6" s="31">
        <f>(P4+P5+P6)/P12</f>
        <v>0.32256129477314233</v>
      </c>
      <c r="R6" s="33"/>
      <c r="S6" s="31">
        <f t="shared" si="2"/>
        <v>1.0795142178313104</v>
      </c>
      <c r="T6" s="31"/>
      <c r="U6" s="7">
        <v>2.5000000000000001E-2</v>
      </c>
    </row>
    <row r="7" spans="1:21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1726.87</v>
      </c>
      <c r="O7" s="33">
        <f>N7*B17</f>
        <v>1573.6966309999998</v>
      </c>
      <c r="P7" s="33">
        <f t="shared" si="1"/>
        <v>1573.6966309999998</v>
      </c>
      <c r="Q7" s="31"/>
      <c r="R7" s="33"/>
      <c r="S7" s="31">
        <f t="shared" si="2"/>
        <v>0.91504800042737866</v>
      </c>
      <c r="T7" s="31"/>
      <c r="U7" s="7">
        <v>0</v>
      </c>
    </row>
    <row r="8" spans="1:21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76.08</v>
      </c>
      <c r="O8" s="33">
        <f>N8*B17</f>
        <v>69.331704000000002</v>
      </c>
      <c r="P8" s="33">
        <f t="shared" si="1"/>
        <v>1733.2926</v>
      </c>
      <c r="Q8" s="31">
        <f>(P7+P8)/P12</f>
        <v>0.26691786127688133</v>
      </c>
      <c r="R8" s="33"/>
      <c r="S8" s="31">
        <f t="shared" si="2"/>
        <v>0.71221924758296662</v>
      </c>
      <c r="T8" s="31"/>
      <c r="U8" s="7">
        <v>1.2094630515683149E-2</v>
      </c>
    </row>
    <row r="9" spans="1:21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257.02</v>
      </c>
      <c r="O9" s="33">
        <f>N9*B17</f>
        <v>234.22232599999998</v>
      </c>
      <c r="P9" s="33">
        <f t="shared" si="1"/>
        <v>936.88930399999992</v>
      </c>
      <c r="Q9" s="31">
        <f>(P9)/P12</f>
        <v>7.5619384221957839E-2</v>
      </c>
      <c r="R9" s="33"/>
      <c r="S9" s="31">
        <f t="shared" si="2"/>
        <v>1.6925820183536555E-2</v>
      </c>
      <c r="T9" s="31"/>
      <c r="U9" s="7">
        <v>7.5137125253587796E-3</v>
      </c>
    </row>
    <row r="10" spans="1:21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97.5</v>
      </c>
      <c r="O10" s="33">
        <f>N10</f>
        <v>97.5</v>
      </c>
      <c r="P10" s="33">
        <f t="shared" si="1"/>
        <v>975</v>
      </c>
      <c r="Q10" s="31">
        <f>(P10)/P12</f>
        <v>7.8695422502559495E-2</v>
      </c>
      <c r="R10" s="33"/>
      <c r="S10" s="31">
        <f t="shared" si="2"/>
        <v>-7.8014184397163122E-2</v>
      </c>
      <c r="T10" s="31"/>
      <c r="U10" s="7">
        <v>2.6750972762645917E-2</v>
      </c>
    </row>
    <row r="11" spans="1:21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48.26</v>
      </c>
      <c r="O11" s="33">
        <f>N11*B17</f>
        <v>43.979337999999998</v>
      </c>
      <c r="P11" s="33">
        <f t="shared" si="1"/>
        <v>1099.4834499999999</v>
      </c>
      <c r="Q11" s="31">
        <f>(P11)/P12</f>
        <v>8.8742886802381266E-2</v>
      </c>
      <c r="R11" s="33"/>
      <c r="S11" s="31">
        <f t="shared" si="2"/>
        <v>9.9043145839697935E-2</v>
      </c>
      <c r="T11" s="31"/>
      <c r="U11" s="7">
        <v>2.41E-2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12389.538920999999</v>
      </c>
      <c r="Q12" s="12">
        <f>SUM(Q2:Q11)</f>
        <v>1</v>
      </c>
      <c r="R12" s="11"/>
      <c r="S12" s="12">
        <f t="shared" si="2"/>
        <v>0.2735028960734025</v>
      </c>
      <c r="T12" s="12">
        <v>0.1285</v>
      </c>
      <c r="U12" s="12">
        <f>AVERAGE(U2:U11)</f>
        <v>1.9399324660653722E-2</v>
      </c>
    </row>
    <row r="14" spans="1:21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2124.14</v>
      </c>
      <c r="O14" s="41"/>
      <c r="P14" s="41"/>
      <c r="Q14" s="42"/>
      <c r="R14" s="41"/>
      <c r="S14" s="42">
        <f>(N14-K14)/K14</f>
        <v>5.6288930682375345E-2</v>
      </c>
      <c r="T14" s="42">
        <v>2.7799999999999998E-2</v>
      </c>
    </row>
    <row r="16" spans="1:21">
      <c r="A16" s="35" t="s">
        <v>117</v>
      </c>
    </row>
    <row r="17" spans="1:3">
      <c r="A17" s="35" t="s">
        <v>22</v>
      </c>
      <c r="B17" s="35">
        <f>'170830_langfr_Geldanlage'!B18</f>
        <v>0.9113</v>
      </c>
    </row>
    <row r="18" spans="1:3">
      <c r="A18" s="35" t="s">
        <v>90</v>
      </c>
      <c r="B18" s="35">
        <v>0.91459999999999997</v>
      </c>
    </row>
    <row r="19" spans="1:3">
      <c r="A19" s="35" t="s">
        <v>83</v>
      </c>
      <c r="B19" s="35">
        <v>0.13370000000000001</v>
      </c>
    </row>
    <row r="22" spans="1:3">
      <c r="A22" s="48" t="s">
        <v>124</v>
      </c>
      <c r="B22" s="49">
        <f>'170830_langfr_Geldanlage'!B25</f>
        <v>43747</v>
      </c>
      <c r="C22" s="55" t="str">
        <f>'170830_langfr_Geldanlage'!C25</f>
        <v>zwischen 21:30 und 22 Uhr</v>
      </c>
    </row>
    <row r="23" spans="1:3">
      <c r="A23" s="48" t="s">
        <v>125</v>
      </c>
      <c r="B23" s="44">
        <v>2</v>
      </c>
    </row>
  </sheetData>
  <phoneticPr fontId="18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6" style="2" bestFit="1" customWidth="1"/>
    <col min="19" max="19" width="11.83203125" style="3" customWidth="1"/>
    <col min="20" max="20" width="12.6640625" style="3" customWidth="1"/>
    <col min="21" max="21" width="12" style="3" customWidth="1"/>
    <col min="22" max="16384" width="10.83203125" style="1"/>
  </cols>
  <sheetData>
    <row r="1" spans="1:21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121</v>
      </c>
      <c r="O1" s="47" t="s">
        <v>122</v>
      </c>
      <c r="P1" s="47" t="s">
        <v>123</v>
      </c>
      <c r="Q1" s="7" t="s">
        <v>3</v>
      </c>
      <c r="R1" s="5" t="s">
        <v>51</v>
      </c>
      <c r="S1" s="9" t="s">
        <v>70</v>
      </c>
      <c r="T1" s="23" t="s">
        <v>74</v>
      </c>
      <c r="U1" s="69" t="s">
        <v>234</v>
      </c>
    </row>
    <row r="2" spans="1:21">
      <c r="A2" s="51" t="s">
        <v>127</v>
      </c>
      <c r="B2" s="51" t="s">
        <v>128</v>
      </c>
      <c r="C2" s="51" t="s">
        <v>129</v>
      </c>
      <c r="D2" s="51" t="s">
        <v>130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46.87</v>
      </c>
      <c r="O2" s="6">
        <f>N2*B21</f>
        <v>32.035644999999995</v>
      </c>
      <c r="P2" s="6">
        <f t="shared" ref="P2:P11" si="1">L2*O2</f>
        <v>1281.4257999999998</v>
      </c>
      <c r="Q2" s="7"/>
      <c r="R2" s="33"/>
      <c r="S2" s="7">
        <f>(P2-H2)/H2</f>
        <v>0.24926433908988133</v>
      </c>
      <c r="T2" s="7"/>
      <c r="U2" s="7">
        <v>6.348387096774194E-2</v>
      </c>
    </row>
    <row r="3" spans="1:21">
      <c r="A3" s="51" t="s">
        <v>132</v>
      </c>
      <c r="B3" s="51" t="s">
        <v>133</v>
      </c>
      <c r="C3" s="51" t="s">
        <v>134</v>
      </c>
      <c r="D3" s="51" t="s">
        <v>135</v>
      </c>
      <c r="E3" s="51" t="s">
        <v>29</v>
      </c>
      <c r="F3" s="51" t="s">
        <v>136</v>
      </c>
      <c r="G3" s="51" t="s">
        <v>16</v>
      </c>
      <c r="H3" s="6">
        <f t="shared" si="0"/>
        <v>946.80000000000007</v>
      </c>
      <c r="I3" s="7"/>
      <c r="J3" s="51" t="s">
        <v>137</v>
      </c>
      <c r="K3" s="6">
        <f>78.9/2</f>
        <v>39.450000000000003</v>
      </c>
      <c r="L3" s="18">
        <v>24</v>
      </c>
      <c r="M3" s="6">
        <f>K3</f>
        <v>39.450000000000003</v>
      </c>
      <c r="N3" s="6">
        <v>52</v>
      </c>
      <c r="O3" s="6">
        <f>N3</f>
        <v>52</v>
      </c>
      <c r="P3" s="6">
        <f t="shared" si="1"/>
        <v>1248</v>
      </c>
      <c r="Q3" s="7"/>
      <c r="R3" s="26"/>
      <c r="S3" s="7">
        <f t="shared" ref="S3:S12" si="2">(P3-H3)/H3</f>
        <v>0.31812420785804807</v>
      </c>
      <c r="T3" s="7"/>
      <c r="U3" s="7">
        <v>9.1332241486830439E-3</v>
      </c>
    </row>
    <row r="4" spans="1:21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40.200000000000003</v>
      </c>
      <c r="O4" s="6">
        <f>N4</f>
        <v>40.200000000000003</v>
      </c>
      <c r="P4" s="6">
        <f t="shared" si="1"/>
        <v>1005.0000000000001</v>
      </c>
      <c r="Q4" s="7"/>
      <c r="R4" s="28"/>
      <c r="S4" s="7">
        <f t="shared" si="2"/>
        <v>1.7206477732793522E-2</v>
      </c>
      <c r="T4" s="7"/>
      <c r="U4" s="7">
        <v>2.3757716659646648E-2</v>
      </c>
    </row>
    <row r="5" spans="1:21">
      <c r="A5" s="51" t="s">
        <v>17</v>
      </c>
      <c r="B5" s="51" t="s">
        <v>138</v>
      </c>
      <c r="C5" s="51" t="s">
        <v>139</v>
      </c>
      <c r="D5" s="51" t="s">
        <v>140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92.82</v>
      </c>
      <c r="O5" s="6">
        <f>N5</f>
        <v>92.82</v>
      </c>
      <c r="P5" s="6">
        <f t="shared" si="1"/>
        <v>928.19999999999993</v>
      </c>
      <c r="Q5" s="7"/>
      <c r="R5" s="33"/>
      <c r="S5" s="7">
        <f t="shared" si="2"/>
        <v>-0.13089887640449444</v>
      </c>
      <c r="T5" s="7"/>
      <c r="U5" s="7">
        <v>2.0410414827890556E-2</v>
      </c>
    </row>
    <row r="6" spans="1:21">
      <c r="A6" s="51" t="s">
        <v>25</v>
      </c>
      <c r="B6" s="51" t="s">
        <v>145</v>
      </c>
      <c r="C6" s="51" t="s">
        <v>143</v>
      </c>
      <c r="D6" s="51" t="s">
        <v>144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191.65</v>
      </c>
      <c r="O6" s="6">
        <f>N6*B18</f>
        <v>174.650645</v>
      </c>
      <c r="P6" s="6">
        <f t="shared" si="1"/>
        <v>1047.9038700000001</v>
      </c>
      <c r="Q6" s="7"/>
      <c r="R6" s="22"/>
      <c r="S6" s="7">
        <f t="shared" si="2"/>
        <v>-4.7806082995508915E-3</v>
      </c>
      <c r="T6" s="7"/>
      <c r="U6" s="7">
        <v>1.4473176379776149E-2</v>
      </c>
    </row>
    <row r="7" spans="1:21">
      <c r="A7" s="51" t="s">
        <v>26</v>
      </c>
      <c r="B7" s="51" t="s">
        <v>146</v>
      </c>
      <c r="C7" s="51" t="s">
        <v>141</v>
      </c>
      <c r="D7" s="51" t="s">
        <v>147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148</v>
      </c>
      <c r="K7" s="6">
        <v>507.5</v>
      </c>
      <c r="L7" s="18">
        <v>2</v>
      </c>
      <c r="M7" s="6">
        <f>K7</f>
        <v>507.5</v>
      </c>
      <c r="N7" s="6">
        <v>631.5</v>
      </c>
      <c r="O7" s="6">
        <f>N7</f>
        <v>631.5</v>
      </c>
      <c r="P7" s="6">
        <f t="shared" si="1"/>
        <v>1263</v>
      </c>
      <c r="Q7" s="7"/>
      <c r="R7" s="28"/>
      <c r="S7" s="7">
        <f t="shared" si="2"/>
        <v>0.24433497536945814</v>
      </c>
      <c r="T7" s="7"/>
      <c r="U7" s="7">
        <v>1.4437689969604863E-2</v>
      </c>
    </row>
    <row r="8" spans="1:21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149</v>
      </c>
      <c r="G8" s="51" t="s">
        <v>118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19.88</v>
      </c>
      <c r="O8" s="6">
        <f>N8*B19</f>
        <v>22.108547999999999</v>
      </c>
      <c r="P8" s="6">
        <f t="shared" si="1"/>
        <v>1039.101756</v>
      </c>
      <c r="Q8" s="7"/>
      <c r="R8" s="33"/>
      <c r="S8" s="7">
        <f t="shared" si="2"/>
        <v>1.3472505861886429E-2</v>
      </c>
      <c r="T8" s="7"/>
      <c r="U8" s="7">
        <v>2.3623529411764706E-2</v>
      </c>
    </row>
    <row r="9" spans="1:21">
      <c r="A9" s="51" t="s">
        <v>46</v>
      </c>
      <c r="B9" s="51" t="s">
        <v>153</v>
      </c>
      <c r="C9" s="51" t="s">
        <v>154</v>
      </c>
      <c r="D9" s="51" t="s">
        <v>155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455</v>
      </c>
      <c r="O9" s="6">
        <f>N9</f>
        <v>455</v>
      </c>
      <c r="P9" s="6">
        <f t="shared" si="1"/>
        <v>910</v>
      </c>
      <c r="Q9" s="7"/>
      <c r="R9" s="33"/>
      <c r="S9" s="7">
        <f t="shared" si="2"/>
        <v>2.6443367122079959E-3</v>
      </c>
      <c r="T9" s="7"/>
      <c r="U9" s="7">
        <v>6.8800764452938363E-3</v>
      </c>
    </row>
    <row r="10" spans="1:21">
      <c r="A10" s="51" t="s">
        <v>38</v>
      </c>
      <c r="B10" s="51" t="s">
        <v>156</v>
      </c>
      <c r="C10" s="51" t="s">
        <v>142</v>
      </c>
      <c r="D10" s="51" t="s">
        <v>157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158</v>
      </c>
      <c r="K10" s="6">
        <v>43.61</v>
      </c>
      <c r="L10" s="18">
        <v>28</v>
      </c>
      <c r="M10" s="6">
        <f>K10*0.8114</f>
        <v>35.385154</v>
      </c>
      <c r="N10" s="6">
        <v>46.99</v>
      </c>
      <c r="O10" s="6">
        <f>N10*B18</f>
        <v>42.821987</v>
      </c>
      <c r="P10" s="6">
        <f t="shared" si="1"/>
        <v>1199.0156360000001</v>
      </c>
      <c r="Q10" s="7"/>
      <c r="R10" s="28"/>
      <c r="S10" s="7">
        <f t="shared" si="2"/>
        <v>0.21016816826627358</v>
      </c>
      <c r="T10" s="7"/>
      <c r="U10" s="7">
        <v>2.7929568913175471E-2</v>
      </c>
    </row>
    <row r="11" spans="1:21" ht="30">
      <c r="A11" s="51" t="s">
        <v>38</v>
      </c>
      <c r="B11" s="53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257.07</v>
      </c>
      <c r="O11" s="6">
        <f>N11*B18</f>
        <v>234.26789099999999</v>
      </c>
      <c r="P11" s="6">
        <f t="shared" si="1"/>
        <v>937.07156399999997</v>
      </c>
      <c r="Q11" s="7"/>
      <c r="R11" s="33"/>
      <c r="S11" s="7">
        <f t="shared" si="2"/>
        <v>1.5441899438817604E-2</v>
      </c>
      <c r="T11" s="7"/>
      <c r="U11" s="7">
        <v>7.5137125253587796E-3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10858.718626</v>
      </c>
      <c r="Q12" s="12"/>
      <c r="R12" s="11"/>
      <c r="S12" s="12">
        <f t="shared" si="2"/>
        <v>9.209943051636664E-2</v>
      </c>
      <c r="T12" s="12">
        <v>5.7299999999999997E-2</v>
      </c>
      <c r="U12" s="12">
        <f>AVERAGE(U2:U11)</f>
        <v>2.1164298024893603E-2</v>
      </c>
    </row>
    <row r="14" spans="1:21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126</v>
      </c>
      <c r="K14" s="15">
        <v>2089.9699999999998</v>
      </c>
      <c r="L14" s="20"/>
      <c r="M14" s="15"/>
      <c r="N14" s="15">
        <f>'170830_langfr_Geldanlage'!N14</f>
        <v>2124.14</v>
      </c>
      <c r="O14" s="15"/>
      <c r="P14" s="15"/>
      <c r="Q14" s="16"/>
      <c r="R14" s="24"/>
      <c r="S14" s="16">
        <f>(N14-K14)/K14</f>
        <v>1.6349516978712651E-2</v>
      </c>
      <c r="T14" s="16">
        <v>1.03E-2</v>
      </c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0.9113</v>
      </c>
    </row>
    <row r="19" spans="1:3">
      <c r="A19" s="35" t="s">
        <v>119</v>
      </c>
      <c r="B19" s="1">
        <f>'170830_langfr_Geldanlage'!B19</f>
        <v>1.1121000000000001</v>
      </c>
    </row>
    <row r="20" spans="1:3">
      <c r="A20" s="48" t="s">
        <v>14</v>
      </c>
      <c r="B20" s="35">
        <v>0.61299999999999999</v>
      </c>
    </row>
    <row r="21" spans="1:3">
      <c r="A21" s="35" t="s">
        <v>42</v>
      </c>
      <c r="B21" s="1">
        <f>'170830_langfr_Geldanlage'!B21</f>
        <v>0.6835</v>
      </c>
    </row>
    <row r="24" spans="1:3">
      <c r="A24" s="48" t="s">
        <v>124</v>
      </c>
      <c r="B24" s="49">
        <f>'170830_langfr_Geldanlage'!B25</f>
        <v>43747</v>
      </c>
      <c r="C24" s="54" t="str">
        <f>'171004_langfr_Geldanlage'!C22</f>
        <v>zwischen 21:30 und 22 Uhr</v>
      </c>
    </row>
    <row r="25" spans="1:3">
      <c r="A25" s="48" t="s">
        <v>125</v>
      </c>
      <c r="B25" s="2">
        <v>1.58</v>
      </c>
    </row>
  </sheetData>
  <phoneticPr fontId="18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59" t="s">
        <v>171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121</v>
      </c>
      <c r="O1" s="47" t="s">
        <v>122</v>
      </c>
      <c r="P1" s="47" t="s">
        <v>123</v>
      </c>
      <c r="Q1" s="7" t="s">
        <v>3</v>
      </c>
      <c r="R1" s="9" t="s">
        <v>70</v>
      </c>
      <c r="S1" s="23" t="s">
        <v>74</v>
      </c>
      <c r="T1" s="69" t="s">
        <v>234</v>
      </c>
    </row>
    <row r="2" spans="1:20" ht="30">
      <c r="A2" s="57" t="s">
        <v>132</v>
      </c>
      <c r="B2" s="58" t="s">
        <v>176</v>
      </c>
      <c r="C2" s="57" t="s">
        <v>162</v>
      </c>
      <c r="D2" s="57" t="s">
        <v>164</v>
      </c>
      <c r="E2" s="57" t="s">
        <v>10</v>
      </c>
      <c r="F2" s="57" t="s">
        <v>15</v>
      </c>
      <c r="G2" s="57" t="s">
        <v>16</v>
      </c>
      <c r="H2" s="6">
        <f t="shared" ref="H2:H10" si="0">M2*L2</f>
        <v>1046.6500000000001</v>
      </c>
      <c r="I2" s="7">
        <f>H2/H11</f>
        <v>0.11321168800391755</v>
      </c>
      <c r="J2" s="57" t="s">
        <v>161</v>
      </c>
      <c r="K2" s="6">
        <v>95.15</v>
      </c>
      <c r="L2" s="18">
        <v>11</v>
      </c>
      <c r="M2" s="6">
        <f>K2</f>
        <v>95.15</v>
      </c>
      <c r="N2" s="6">
        <v>78.650000000000006</v>
      </c>
      <c r="O2" s="6">
        <f>N2</f>
        <v>78.650000000000006</v>
      </c>
      <c r="P2" s="6">
        <f t="shared" ref="P2:P10" si="1">L2*O2</f>
        <v>865.15000000000009</v>
      </c>
      <c r="Q2" s="7"/>
      <c r="R2" s="7">
        <f t="shared" ref="R2:R11" si="2">(P2-H2)/H2</f>
        <v>-0.17341040462427745</v>
      </c>
      <c r="S2" s="7"/>
      <c r="T2" s="7">
        <v>1.0699999999999999E-2</v>
      </c>
    </row>
    <row r="3" spans="1:20" ht="30">
      <c r="A3" s="57" t="s">
        <v>4</v>
      </c>
      <c r="B3" s="58" t="s">
        <v>180</v>
      </c>
      <c r="C3" s="58" t="s">
        <v>181</v>
      </c>
      <c r="D3" s="57" t="s">
        <v>182</v>
      </c>
      <c r="E3" s="57" t="s">
        <v>20</v>
      </c>
      <c r="F3" s="57" t="s">
        <v>21</v>
      </c>
      <c r="G3" s="57" t="s">
        <v>22</v>
      </c>
      <c r="H3" s="6">
        <f t="shared" si="0"/>
        <v>1011.1920280000001</v>
      </c>
      <c r="I3" s="7"/>
      <c r="J3" s="57" t="s">
        <v>183</v>
      </c>
      <c r="K3" s="6">
        <v>41.09</v>
      </c>
      <c r="L3" s="18">
        <v>28</v>
      </c>
      <c r="M3" s="6">
        <f>K3*0.8789</f>
        <v>36.114001000000002</v>
      </c>
      <c r="N3" s="6">
        <v>24.34</v>
      </c>
      <c r="O3" s="6">
        <f>N3*B17</f>
        <v>22.181042000000001</v>
      </c>
      <c r="P3" s="6">
        <f t="shared" si="1"/>
        <v>621.06917600000008</v>
      </c>
      <c r="Q3" s="7"/>
      <c r="R3" s="7">
        <f t="shared" si="2"/>
        <v>-0.38580491261547006</v>
      </c>
      <c r="S3" s="7"/>
      <c r="T3" s="7">
        <v>3.2317826265953073E-2</v>
      </c>
    </row>
    <row r="4" spans="1:20">
      <c r="A4" s="57" t="s">
        <v>4</v>
      </c>
      <c r="B4" s="57" t="s">
        <v>184</v>
      </c>
      <c r="C4" s="57" t="s">
        <v>185</v>
      </c>
      <c r="D4" s="57" t="s">
        <v>186</v>
      </c>
      <c r="E4" s="57" t="s">
        <v>10</v>
      </c>
      <c r="F4" s="57" t="s">
        <v>89</v>
      </c>
      <c r="G4" s="57" t="s">
        <v>90</v>
      </c>
      <c r="H4" s="6">
        <f t="shared" si="0"/>
        <v>994.99572000000012</v>
      </c>
      <c r="I4" s="7">
        <f>(H3+H4)/H11</f>
        <v>0.21700081345612954</v>
      </c>
      <c r="J4" s="57" t="s">
        <v>196</v>
      </c>
      <c r="K4" s="6">
        <v>66.45</v>
      </c>
      <c r="L4" s="18">
        <v>17</v>
      </c>
      <c r="M4" s="6">
        <f>K4*0.8808</f>
        <v>58.529160000000005</v>
      </c>
      <c r="N4" s="6">
        <v>59.8</v>
      </c>
      <c r="O4" s="6">
        <f>N4*B19</f>
        <v>54.693079999999995</v>
      </c>
      <c r="P4" s="6">
        <f t="shared" si="1"/>
        <v>929.78235999999993</v>
      </c>
      <c r="Q4" s="7"/>
      <c r="R4" s="7">
        <f t="shared" si="2"/>
        <v>-6.5541347253232587E-2</v>
      </c>
      <c r="S4" s="7"/>
      <c r="T4" s="7">
        <v>5.3135888501742161E-2</v>
      </c>
    </row>
    <row r="5" spans="1:20">
      <c r="A5" s="57" t="s">
        <v>120</v>
      </c>
      <c r="B5" s="57" t="s">
        <v>188</v>
      </c>
      <c r="C5" s="57" t="s">
        <v>187</v>
      </c>
      <c r="D5" s="57" t="s">
        <v>189</v>
      </c>
      <c r="E5" s="57" t="s">
        <v>20</v>
      </c>
      <c r="F5" s="57" t="s">
        <v>21</v>
      </c>
      <c r="G5" s="57" t="s">
        <v>22</v>
      </c>
      <c r="H5" s="6">
        <f t="shared" si="0"/>
        <v>1017.9771360000001</v>
      </c>
      <c r="I5" s="7">
        <f>H5/H11</f>
        <v>0.11011026600673916</v>
      </c>
      <c r="J5" s="57" t="s">
        <v>190</v>
      </c>
      <c r="K5" s="6">
        <v>60.96</v>
      </c>
      <c r="L5" s="18">
        <v>19</v>
      </c>
      <c r="M5" s="6">
        <f>K5*0.8789</f>
        <v>53.577744000000003</v>
      </c>
      <c r="N5" s="6">
        <v>82.09</v>
      </c>
      <c r="O5" s="6">
        <f>N5*B17</f>
        <v>74.808616999999998</v>
      </c>
      <c r="P5" s="6">
        <f t="shared" si="1"/>
        <v>1421.3637229999999</v>
      </c>
      <c r="Q5" s="7"/>
      <c r="R5" s="7">
        <f t="shared" si="2"/>
        <v>0.39626291469084607</v>
      </c>
      <c r="S5" s="7"/>
      <c r="T5" s="7">
        <v>1.7413512885999537E-2</v>
      </c>
    </row>
    <row r="6" spans="1:20">
      <c r="A6" s="57" t="s">
        <v>168</v>
      </c>
      <c r="B6" s="57" t="s">
        <v>174</v>
      </c>
      <c r="C6" s="57" t="s">
        <v>169</v>
      </c>
      <c r="D6" s="57" t="s">
        <v>170</v>
      </c>
      <c r="E6" s="57" t="s">
        <v>29</v>
      </c>
      <c r="F6" s="57" t="s">
        <v>108</v>
      </c>
      <c r="G6" s="57" t="s">
        <v>22</v>
      </c>
      <c r="H6" s="6">
        <f t="shared" si="0"/>
        <v>1058.1340770000002</v>
      </c>
      <c r="I6" s="7">
        <f>H6/H11</f>
        <v>0.11445387186895073</v>
      </c>
      <c r="J6" s="57" t="s">
        <v>172</v>
      </c>
      <c r="K6" s="6">
        <v>171.99</v>
      </c>
      <c r="L6" s="18">
        <v>7</v>
      </c>
      <c r="M6" s="6">
        <f>K6*0.8789</f>
        <v>151.16201100000001</v>
      </c>
      <c r="N6" s="6">
        <v>166.16</v>
      </c>
      <c r="O6" s="6">
        <f>N6*B17</f>
        <v>151.42160799999999</v>
      </c>
      <c r="P6" s="6">
        <f t="shared" si="1"/>
        <v>1059.9512559999998</v>
      </c>
      <c r="Q6" s="7"/>
      <c r="R6" s="7">
        <f t="shared" si="2"/>
        <v>1.7173428580541487E-3</v>
      </c>
      <c r="S6" s="7"/>
      <c r="T6" s="7">
        <v>0</v>
      </c>
    </row>
    <row r="7" spans="1:20" ht="30">
      <c r="A7" s="57" t="s">
        <v>26</v>
      </c>
      <c r="B7" s="58" t="s">
        <v>175</v>
      </c>
      <c r="C7" s="57" t="s">
        <v>165</v>
      </c>
      <c r="D7" s="57" t="s">
        <v>166</v>
      </c>
      <c r="E7" s="57" t="s">
        <v>20</v>
      </c>
      <c r="F7" s="57" t="s">
        <v>21</v>
      </c>
      <c r="G7" s="57" t="s">
        <v>22</v>
      </c>
      <c r="H7" s="6">
        <f t="shared" si="0"/>
        <v>1071.2912100000001</v>
      </c>
      <c r="I7" s="7"/>
      <c r="J7" s="57" t="s">
        <v>167</v>
      </c>
      <c r="K7" s="6">
        <v>203.15</v>
      </c>
      <c r="L7" s="18">
        <v>6</v>
      </c>
      <c r="M7" s="6">
        <f>K7*0.8789</f>
        <v>178.54853500000002</v>
      </c>
      <c r="N7" s="6">
        <v>151.66</v>
      </c>
      <c r="O7" s="6">
        <f>N7*B17</f>
        <v>138.20775799999998</v>
      </c>
      <c r="P7" s="6">
        <f t="shared" si="1"/>
        <v>829.24654799999985</v>
      </c>
      <c r="Q7" s="7"/>
      <c r="R7" s="7">
        <f t="shared" si="2"/>
        <v>-0.22593731726782321</v>
      </c>
      <c r="S7" s="7"/>
      <c r="T7" s="7">
        <v>3.503649635036496E-2</v>
      </c>
    </row>
    <row r="8" spans="1:20" ht="30">
      <c r="A8" s="57" t="s">
        <v>26</v>
      </c>
      <c r="B8" s="58" t="s">
        <v>191</v>
      </c>
      <c r="C8" s="57" t="s">
        <v>192</v>
      </c>
      <c r="D8" s="57" t="s">
        <v>193</v>
      </c>
      <c r="E8" s="57" t="s">
        <v>10</v>
      </c>
      <c r="F8" s="57" t="s">
        <v>49</v>
      </c>
      <c r="G8" s="57" t="s">
        <v>50</v>
      </c>
      <c r="H8" s="6">
        <f t="shared" si="0"/>
        <v>1007.8210499999999</v>
      </c>
      <c r="I8" s="7">
        <f>(H7+H8)/H11</f>
        <v>0.22488874839176409</v>
      </c>
      <c r="J8" s="57" t="s">
        <v>194</v>
      </c>
      <c r="K8" s="6">
        <v>181.95</v>
      </c>
      <c r="L8" s="18">
        <v>58</v>
      </c>
      <c r="M8" s="6">
        <f>K8*0.0955</f>
        <v>17.376224999999998</v>
      </c>
      <c r="N8" s="6">
        <v>213.8</v>
      </c>
      <c r="O8" s="6">
        <f>N8*B20</f>
        <v>19.5627</v>
      </c>
      <c r="P8" s="6">
        <f t="shared" si="1"/>
        <v>1134.6366</v>
      </c>
      <c r="Q8" s="7"/>
      <c r="R8" s="7">
        <f t="shared" si="2"/>
        <v>0.12583141620231106</v>
      </c>
      <c r="S8" s="7"/>
      <c r="T8" s="7">
        <v>1.6040329972502293E-2</v>
      </c>
    </row>
    <row r="9" spans="1:20" ht="30">
      <c r="A9" s="57" t="s">
        <v>38</v>
      </c>
      <c r="B9" s="58" t="s">
        <v>173</v>
      </c>
      <c r="C9" s="57" t="s">
        <v>177</v>
      </c>
      <c r="D9" s="57" t="s">
        <v>178</v>
      </c>
      <c r="E9" s="57" t="s">
        <v>29</v>
      </c>
      <c r="F9" s="57" t="s">
        <v>108</v>
      </c>
      <c r="G9" s="57" t="s">
        <v>22</v>
      </c>
      <c r="H9" s="6">
        <f t="shared" si="0"/>
        <v>1010.9107800000002</v>
      </c>
      <c r="I9" s="7"/>
      <c r="J9" s="57" t="s">
        <v>179</v>
      </c>
      <c r="K9" s="6">
        <v>42.6</v>
      </c>
      <c r="L9" s="18">
        <v>27</v>
      </c>
      <c r="M9" s="6">
        <f>K9*0.8789</f>
        <v>37.441140000000004</v>
      </c>
      <c r="N9" s="6">
        <v>40.75</v>
      </c>
      <c r="O9" s="6">
        <f>N9*B17</f>
        <v>37.135475</v>
      </c>
      <c r="P9" s="6">
        <f t="shared" si="1"/>
        <v>1002.657825</v>
      </c>
      <c r="Q9" s="7"/>
      <c r="R9" s="7">
        <f t="shared" si="2"/>
        <v>-8.1638806938038148E-3</v>
      </c>
      <c r="S9" s="7"/>
      <c r="T9" s="7">
        <v>3.0444119423025484E-3</v>
      </c>
    </row>
    <row r="10" spans="1:20" ht="30">
      <c r="A10" s="57" t="s">
        <v>38</v>
      </c>
      <c r="B10" s="58" t="s">
        <v>160</v>
      </c>
      <c r="C10" s="57" t="s">
        <v>159</v>
      </c>
      <c r="D10" s="57" t="s">
        <v>163</v>
      </c>
      <c r="E10" s="57" t="s">
        <v>20</v>
      </c>
      <c r="F10" s="57" t="s">
        <v>21</v>
      </c>
      <c r="G10" s="57" t="s">
        <v>22</v>
      </c>
      <c r="H10" s="6">
        <f t="shared" si="0"/>
        <v>1026.098172</v>
      </c>
      <c r="I10" s="7">
        <f>(H9+H10)/H11</f>
        <v>0.22033461227249898</v>
      </c>
      <c r="J10" s="57" t="s">
        <v>161</v>
      </c>
      <c r="K10" s="6">
        <v>64.86</v>
      </c>
      <c r="L10" s="18">
        <v>18</v>
      </c>
      <c r="M10" s="6">
        <f>K10*0.8789</f>
        <v>57.005454</v>
      </c>
      <c r="N10" s="6">
        <v>65.930000000000007</v>
      </c>
      <c r="O10" s="6">
        <f>N10*B17</f>
        <v>60.082009000000006</v>
      </c>
      <c r="P10" s="6">
        <f t="shared" si="1"/>
        <v>1081.4761620000002</v>
      </c>
      <c r="Q10" s="7"/>
      <c r="R10" s="7">
        <f t="shared" si="2"/>
        <v>5.3969485095233347E-2</v>
      </c>
      <c r="S10" s="7"/>
      <c r="T10" s="7">
        <v>1.0561830717324335E-2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8945.3336500000005</v>
      </c>
      <c r="Q11" s="12"/>
      <c r="R11" s="12">
        <f t="shared" si="2"/>
        <v>-3.2421227464056762E-2</v>
      </c>
      <c r="S11" s="12">
        <v>-2.7799999999999998E-2</v>
      </c>
      <c r="T11" s="12">
        <f>AVERAGE(T2:T10)</f>
        <v>1.9805588515132103E-2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6" t="s">
        <v>195</v>
      </c>
      <c r="K13" s="15">
        <v>2131.0500000000002</v>
      </c>
      <c r="L13" s="20"/>
      <c r="M13" s="15"/>
      <c r="N13" s="15">
        <f>'170830_langfr_Geldanlage'!N14</f>
        <v>2124.14</v>
      </c>
      <c r="O13" s="15"/>
      <c r="P13" s="15"/>
      <c r="Q13" s="16"/>
      <c r="R13" s="16">
        <f>(N13-K13)/K13</f>
        <v>-3.2425330236269955E-3</v>
      </c>
      <c r="S13" s="16">
        <v>-2.8E-3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0.9113</v>
      </c>
    </row>
    <row r="18" spans="1:3">
      <c r="A18" s="35" t="s">
        <v>119</v>
      </c>
      <c r="B18" s="1">
        <f>'170830_langfr_Geldanlage'!B19</f>
        <v>1.1121000000000001</v>
      </c>
    </row>
    <row r="19" spans="1:3">
      <c r="A19" s="60" t="s">
        <v>90</v>
      </c>
      <c r="B19" s="35">
        <f>'171004_langfr_Geldanlage'!B18</f>
        <v>0.91459999999999997</v>
      </c>
    </row>
    <row r="20" spans="1:3">
      <c r="A20" s="60" t="s">
        <v>50</v>
      </c>
      <c r="B20" s="1">
        <f>'170830_langfr_Geldanlage'!B22</f>
        <v>9.1499999999999998E-2</v>
      </c>
    </row>
    <row r="23" spans="1:3">
      <c r="A23" s="48" t="s">
        <v>124</v>
      </c>
      <c r="B23" s="49">
        <f>'170830_langfr_Geldanlage'!B25</f>
        <v>43747</v>
      </c>
      <c r="C23" s="54" t="str">
        <f>'171004_langfr_Geldanlage'!C22</f>
        <v>zwischen 21:30 und 22 Uhr</v>
      </c>
    </row>
    <row r="24" spans="1:3">
      <c r="A24" s="48" t="s">
        <v>125</v>
      </c>
      <c r="B24" s="2">
        <v>1.17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7" t="s">
        <v>229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121</v>
      </c>
      <c r="O1" s="47" t="s">
        <v>122</v>
      </c>
      <c r="P1" s="47" t="s">
        <v>123</v>
      </c>
      <c r="Q1" s="7" t="s">
        <v>3</v>
      </c>
      <c r="R1" s="9" t="s">
        <v>70</v>
      </c>
      <c r="S1" s="23" t="s">
        <v>74</v>
      </c>
      <c r="T1" s="69" t="s">
        <v>234</v>
      </c>
    </row>
    <row r="2" spans="1:20" ht="30" customHeight="1">
      <c r="A2" s="65" t="s">
        <v>4</v>
      </c>
      <c r="B2" s="64" t="s">
        <v>219</v>
      </c>
      <c r="C2" s="65" t="s">
        <v>220</v>
      </c>
      <c r="D2" s="65" t="s">
        <v>221</v>
      </c>
      <c r="E2" s="65" t="s">
        <v>10</v>
      </c>
      <c r="F2" s="65" t="s">
        <v>112</v>
      </c>
      <c r="G2" s="57" t="s">
        <v>16</v>
      </c>
      <c r="H2" s="6">
        <f t="shared" ref="H2:H10" si="0">M2*L2</f>
        <v>1033.3399999999999</v>
      </c>
      <c r="I2" s="7"/>
      <c r="J2" s="65" t="s">
        <v>222</v>
      </c>
      <c r="K2" s="6">
        <v>93.94</v>
      </c>
      <c r="L2" s="18">
        <v>11</v>
      </c>
      <c r="M2" s="6">
        <f>K2</f>
        <v>93.94</v>
      </c>
      <c r="N2" s="6">
        <v>110</v>
      </c>
      <c r="O2" s="6">
        <f>N2</f>
        <v>110</v>
      </c>
      <c r="P2" s="6">
        <f t="shared" ref="P2:P10" si="1">L2*O2</f>
        <v>1210</v>
      </c>
      <c r="Q2" s="7"/>
      <c r="R2" s="7">
        <f t="shared" ref="R2:R11" si="2">(P2-H2)/H2</f>
        <v>0.17096018735363008</v>
      </c>
      <c r="S2" s="7"/>
      <c r="T2" s="7">
        <v>1.0704727921498663E-2</v>
      </c>
    </row>
    <row r="3" spans="1:20">
      <c r="A3" s="57" t="s">
        <v>4</v>
      </c>
      <c r="B3" s="64" t="s">
        <v>210</v>
      </c>
      <c r="C3" s="64" t="s">
        <v>211</v>
      </c>
      <c r="D3" s="65" t="s">
        <v>212</v>
      </c>
      <c r="E3" s="65" t="s">
        <v>10</v>
      </c>
      <c r="F3" s="65" t="s">
        <v>15</v>
      </c>
      <c r="G3" s="65" t="s">
        <v>16</v>
      </c>
      <c r="H3" s="6">
        <f t="shared" si="0"/>
        <v>1014.7500000000001</v>
      </c>
      <c r="I3" s="7">
        <f>(H2+H3)/H11</f>
        <v>0.22135271582297517</v>
      </c>
      <c r="J3" s="65" t="s">
        <v>213</v>
      </c>
      <c r="K3" s="6">
        <v>67.650000000000006</v>
      </c>
      <c r="L3" s="18">
        <v>15</v>
      </c>
      <c r="M3" s="6">
        <f>K3</f>
        <v>67.650000000000006</v>
      </c>
      <c r="N3" s="6">
        <v>62.13</v>
      </c>
      <c r="O3" s="6">
        <f>N3</f>
        <v>62.13</v>
      </c>
      <c r="P3" s="6">
        <f t="shared" si="1"/>
        <v>931.95</v>
      </c>
      <c r="Q3" s="7"/>
      <c r="R3" s="7">
        <f t="shared" si="2"/>
        <v>-8.1596452328159708E-2</v>
      </c>
      <c r="S3" s="7"/>
      <c r="T3" s="7">
        <v>4.9953168904152356E-2</v>
      </c>
    </row>
    <row r="4" spans="1:20">
      <c r="A4" s="63" t="s">
        <v>120</v>
      </c>
      <c r="B4" s="63" t="s">
        <v>206</v>
      </c>
      <c r="C4" s="63" t="s">
        <v>205</v>
      </c>
      <c r="D4" s="70" t="s">
        <v>233</v>
      </c>
      <c r="E4" s="63" t="s">
        <v>10</v>
      </c>
      <c r="F4" s="63" t="s">
        <v>34</v>
      </c>
      <c r="G4" s="63" t="s">
        <v>118</v>
      </c>
      <c r="H4" s="6">
        <f t="shared" si="0"/>
        <v>1024.740288</v>
      </c>
      <c r="I4" s="7">
        <f>(H4)/H11</f>
        <v>0.11075150299157639</v>
      </c>
      <c r="J4" s="65" t="s">
        <v>227</v>
      </c>
      <c r="K4" s="6">
        <v>41.47</v>
      </c>
      <c r="L4" s="18">
        <v>22</v>
      </c>
      <c r="M4" s="6">
        <f>K4*1.1232</f>
        <v>46.579104000000001</v>
      </c>
      <c r="N4" s="6">
        <v>48.085000000000001</v>
      </c>
      <c r="O4" s="6">
        <f>N4*B18</f>
        <v>53.475328500000003</v>
      </c>
      <c r="P4" s="6">
        <f t="shared" si="1"/>
        <v>1176.4572270000001</v>
      </c>
      <c r="Q4" s="7"/>
      <c r="R4" s="7">
        <f t="shared" si="2"/>
        <v>0.14805403942506079</v>
      </c>
      <c r="S4" s="7"/>
      <c r="T4" s="7">
        <v>2.0847290640394089E-2</v>
      </c>
    </row>
    <row r="5" spans="1:20">
      <c r="A5" s="57" t="s">
        <v>120</v>
      </c>
      <c r="B5" s="63" t="s">
        <v>201</v>
      </c>
      <c r="C5" s="63" t="s">
        <v>202</v>
      </c>
      <c r="D5" s="63" t="s">
        <v>203</v>
      </c>
      <c r="E5" s="57" t="s">
        <v>20</v>
      </c>
      <c r="F5" s="57" t="s">
        <v>21</v>
      </c>
      <c r="G5" s="57" t="s">
        <v>22</v>
      </c>
      <c r="H5" s="6">
        <f t="shared" si="0"/>
        <v>1045.1644920000001</v>
      </c>
      <c r="I5" s="7">
        <f>H5/H11</f>
        <v>0.11295890258042381</v>
      </c>
      <c r="J5" s="63" t="s">
        <v>204</v>
      </c>
      <c r="K5" s="6">
        <v>66.39</v>
      </c>
      <c r="L5" s="18">
        <v>18</v>
      </c>
      <c r="M5" s="6">
        <f>K5*0.8746</f>
        <v>58.064694000000003</v>
      </c>
      <c r="N5" s="6">
        <v>78.36</v>
      </c>
      <c r="O5" s="6">
        <f>N5*B17</f>
        <v>71.409468000000004</v>
      </c>
      <c r="P5" s="6">
        <f t="shared" si="1"/>
        <v>1285.3704240000002</v>
      </c>
      <c r="Q5" s="7"/>
      <c r="R5" s="7">
        <f t="shared" si="2"/>
        <v>0.22982595929981139</v>
      </c>
      <c r="S5" s="7"/>
      <c r="T5" s="7">
        <v>1.964735516372796E-2</v>
      </c>
    </row>
    <row r="6" spans="1:20">
      <c r="A6" s="57" t="s">
        <v>168</v>
      </c>
      <c r="B6" s="65" t="s">
        <v>215</v>
      </c>
      <c r="C6" s="65" t="s">
        <v>216</v>
      </c>
      <c r="D6" s="65" t="s">
        <v>217</v>
      </c>
      <c r="E6" s="65" t="s">
        <v>10</v>
      </c>
      <c r="F6" s="65" t="s">
        <v>112</v>
      </c>
      <c r="G6" s="65" t="s">
        <v>16</v>
      </c>
      <c r="H6" s="6">
        <f t="shared" si="0"/>
        <v>1020.6</v>
      </c>
      <c r="I6" s="7">
        <f>H6/H11</f>
        <v>0.1103040304717705</v>
      </c>
      <c r="J6" s="65" t="s">
        <v>218</v>
      </c>
      <c r="K6" s="6">
        <v>255.15</v>
      </c>
      <c r="L6" s="18">
        <v>4</v>
      </c>
      <c r="M6" s="6">
        <f>K6</f>
        <v>255.15</v>
      </c>
      <c r="N6" s="6">
        <v>372.77</v>
      </c>
      <c r="O6" s="6">
        <f>N6</f>
        <v>372.77</v>
      </c>
      <c r="P6" s="6">
        <f t="shared" si="1"/>
        <v>1491.08</v>
      </c>
      <c r="Q6" s="7"/>
      <c r="R6" s="7">
        <f t="shared" si="2"/>
        <v>0.46098373505780904</v>
      </c>
      <c r="S6" s="7"/>
      <c r="T6" s="7">
        <v>1.662971175166297E-2</v>
      </c>
    </row>
    <row r="7" spans="1:20" ht="30" customHeight="1">
      <c r="A7" s="57" t="s">
        <v>26</v>
      </c>
      <c r="B7" s="62" t="s">
        <v>200</v>
      </c>
      <c r="C7" s="63" t="s">
        <v>141</v>
      </c>
      <c r="D7" s="63" t="s">
        <v>147</v>
      </c>
      <c r="E7" s="63" t="s">
        <v>10</v>
      </c>
      <c r="F7" s="63" t="s">
        <v>15</v>
      </c>
      <c r="G7" s="63" t="s">
        <v>16</v>
      </c>
      <c r="H7" s="6">
        <f t="shared" si="0"/>
        <v>1027</v>
      </c>
      <c r="I7" s="7"/>
      <c r="J7" s="65" t="s">
        <v>228</v>
      </c>
      <c r="K7" s="6">
        <v>513.5</v>
      </c>
      <c r="L7" s="18">
        <v>2</v>
      </c>
      <c r="M7" s="6">
        <f>K7</f>
        <v>513.5</v>
      </c>
      <c r="N7" s="6">
        <f>'180302_langfr_Geldanlage'!N7</f>
        <v>631.5</v>
      </c>
      <c r="O7" s="6">
        <f>N7</f>
        <v>631.5</v>
      </c>
      <c r="P7" s="6">
        <f t="shared" si="1"/>
        <v>1263</v>
      </c>
      <c r="Q7" s="7"/>
      <c r="R7" s="7">
        <f t="shared" si="2"/>
        <v>0.22979552093476144</v>
      </c>
      <c r="S7" s="7"/>
      <c r="T7" s="7">
        <v>1.4437689969604863E-2</v>
      </c>
    </row>
    <row r="8" spans="1:20" ht="30">
      <c r="A8" s="57" t="s">
        <v>26</v>
      </c>
      <c r="B8" s="62" t="s">
        <v>197</v>
      </c>
      <c r="C8" s="63" t="s">
        <v>198</v>
      </c>
      <c r="D8" s="63" t="s">
        <v>199</v>
      </c>
      <c r="E8" s="57" t="s">
        <v>10</v>
      </c>
      <c r="F8" s="63" t="s">
        <v>89</v>
      </c>
      <c r="G8" s="63" t="s">
        <v>90</v>
      </c>
      <c r="H8" s="6">
        <f t="shared" si="0"/>
        <v>1049.1519000000001</v>
      </c>
      <c r="I8" s="7">
        <f>(H7+H8)/H11</f>
        <v>0.22438557950384497</v>
      </c>
      <c r="J8" s="65" t="s">
        <v>231</v>
      </c>
      <c r="K8" s="6">
        <v>198.5</v>
      </c>
      <c r="L8" s="18">
        <v>6</v>
      </c>
      <c r="M8" s="6">
        <f>K8*0.8809</f>
        <v>174.85865000000001</v>
      </c>
      <c r="N8" s="6">
        <v>218.1</v>
      </c>
      <c r="O8" s="6">
        <f>N8*B19</f>
        <v>199.47425999999999</v>
      </c>
      <c r="P8" s="6">
        <f t="shared" si="1"/>
        <v>1196.84556</v>
      </c>
      <c r="Q8" s="7"/>
      <c r="R8" s="7">
        <f t="shared" si="2"/>
        <v>0.14077433401207193</v>
      </c>
      <c r="S8" s="7"/>
      <c r="T8" s="7">
        <v>1.7921146953405021E-2</v>
      </c>
    </row>
    <row r="9" spans="1:20">
      <c r="A9" s="63" t="s">
        <v>46</v>
      </c>
      <c r="B9" s="62" t="s">
        <v>207</v>
      </c>
      <c r="C9" s="63" t="s">
        <v>208</v>
      </c>
      <c r="D9" s="63" t="s">
        <v>209</v>
      </c>
      <c r="E9" s="63" t="s">
        <v>20</v>
      </c>
      <c r="F9" s="63" t="s">
        <v>21</v>
      </c>
      <c r="G9" s="57" t="s">
        <v>22</v>
      </c>
      <c r="H9" s="6">
        <f t="shared" si="0"/>
        <v>1085.3436160000001</v>
      </c>
      <c r="I9" s="7">
        <f>(H9)/H11</f>
        <v>0.11730136712875326</v>
      </c>
      <c r="J9" s="65" t="s">
        <v>232</v>
      </c>
      <c r="K9" s="6">
        <v>177.28</v>
      </c>
      <c r="L9" s="18">
        <v>7</v>
      </c>
      <c r="M9" s="6">
        <f>K9*0.8746</f>
        <v>155.04908800000001</v>
      </c>
      <c r="N9" s="6">
        <v>248.35</v>
      </c>
      <c r="O9" s="6">
        <f>N9*B17</f>
        <v>226.32135499999998</v>
      </c>
      <c r="P9" s="6">
        <f t="shared" si="1"/>
        <v>1584.2494849999998</v>
      </c>
      <c r="Q9" s="7"/>
      <c r="R9" s="7">
        <f t="shared" si="2"/>
        <v>0.45967549967143279</v>
      </c>
      <c r="S9" s="7"/>
      <c r="T9" s="7">
        <v>9.3068821944648546E-3</v>
      </c>
    </row>
    <row r="10" spans="1:20">
      <c r="A10" s="57" t="s">
        <v>38</v>
      </c>
      <c r="B10" s="64" t="s">
        <v>223</v>
      </c>
      <c r="C10" s="65" t="s">
        <v>214</v>
      </c>
      <c r="D10" s="65" t="s">
        <v>224</v>
      </c>
      <c r="E10" s="65" t="s">
        <v>20</v>
      </c>
      <c r="F10" s="65" t="s">
        <v>21</v>
      </c>
      <c r="G10" s="57" t="s">
        <v>22</v>
      </c>
      <c r="H10" s="6">
        <f t="shared" si="0"/>
        <v>952.5181140000002</v>
      </c>
      <c r="I10" s="7">
        <f>H10/H11</f>
        <v>0.10294590150065587</v>
      </c>
      <c r="J10" s="65" t="s">
        <v>225</v>
      </c>
      <c r="K10" s="6">
        <v>121.01</v>
      </c>
      <c r="L10" s="18">
        <v>9</v>
      </c>
      <c r="M10" s="6">
        <f>K10*0.8746</f>
        <v>105.83534600000002</v>
      </c>
      <c r="N10" s="6">
        <v>147.09</v>
      </c>
      <c r="O10" s="6">
        <f>N10*B17</f>
        <v>134.043117</v>
      </c>
      <c r="P10" s="6">
        <f t="shared" si="1"/>
        <v>1206.3880529999999</v>
      </c>
      <c r="Q10" s="7"/>
      <c r="R10" s="7">
        <f t="shared" si="2"/>
        <v>0.26652505109209884</v>
      </c>
      <c r="S10" s="7"/>
      <c r="T10" s="7">
        <v>0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11345.340749000001</v>
      </c>
      <c r="Q11" s="12"/>
      <c r="R11" s="12">
        <f t="shared" si="2"/>
        <v>0.22617755407634288</v>
      </c>
      <c r="S11" s="12">
        <v>0.27850000000000003</v>
      </c>
      <c r="T11" s="12">
        <f>AVERAGE(T2:T10)</f>
        <v>1.7716441499878978E-2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6" t="s">
        <v>226</v>
      </c>
      <c r="K13" s="15">
        <v>2009.6</v>
      </c>
      <c r="L13" s="20"/>
      <c r="M13" s="15"/>
      <c r="N13" s="15">
        <f>'170830_langfr_Geldanlage'!N14</f>
        <v>2124.14</v>
      </c>
      <c r="O13" s="15"/>
      <c r="P13" s="15"/>
      <c r="Q13" s="16"/>
      <c r="R13" s="16">
        <f>(N13-K13)/K13</f>
        <v>5.6996417197452215E-2</v>
      </c>
      <c r="S13" s="16">
        <v>6.9099999999999995E-2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0.9113</v>
      </c>
    </row>
    <row r="18" spans="1:3">
      <c r="A18" s="35" t="s">
        <v>119</v>
      </c>
      <c r="B18" s="1">
        <f>'170830_langfr_Geldanlage'!B19</f>
        <v>1.1121000000000001</v>
      </c>
    </row>
    <row r="19" spans="1:3">
      <c r="A19" s="60" t="s">
        <v>90</v>
      </c>
      <c r="B19" s="35">
        <f>'171004_langfr_Geldanlage'!B18</f>
        <v>0.91459999999999997</v>
      </c>
    </row>
    <row r="20" spans="1:3">
      <c r="A20" s="60" t="s">
        <v>50</v>
      </c>
      <c r="B20" s="1">
        <f>'170830_langfr_Geldanlage'!B22</f>
        <v>9.1499999999999998E-2</v>
      </c>
    </row>
    <row r="23" spans="1:3">
      <c r="A23" s="48" t="s">
        <v>124</v>
      </c>
      <c r="B23" s="49">
        <f>'170830_langfr_Geldanlage'!B25</f>
        <v>43747</v>
      </c>
      <c r="C23" s="68" t="s">
        <v>230</v>
      </c>
    </row>
    <row r="24" spans="1:3">
      <c r="A24" s="48" t="s">
        <v>125</v>
      </c>
      <c r="B24" s="2">
        <v>0.83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2019-10-09T20:03:45Z</dcterms:modified>
</cp:coreProperties>
</file>