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0" yWindow="0" windowWidth="51060" windowHeight="28060" activeTab="4"/>
  </bookViews>
  <sheets>
    <sheet name="170830_langfr_Geldanlage" sheetId="1" r:id="rId1"/>
    <sheet name="171004_langfr_Geldanlage" sheetId="2" r:id="rId2"/>
    <sheet name="180302_langfr_Geldanlage" sheetId="6" r:id="rId3"/>
    <sheet name="180817_langfr_Geldanlage" sheetId="7" r:id="rId4"/>
    <sheet name="181120_langfr_Geldanlage" sheetId="9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6" l="1"/>
  <c r="R14" i="1"/>
  <c r="T11" i="9"/>
  <c r="N7" i="9"/>
  <c r="T11" i="7"/>
  <c r="U12" i="6"/>
  <c r="U12" i="2"/>
  <c r="N13" i="9"/>
  <c r="M10" i="9"/>
  <c r="M9" i="9"/>
  <c r="M8" i="9"/>
  <c r="M5" i="9"/>
  <c r="M4" i="9"/>
  <c r="M2" i="9"/>
  <c r="H2" i="9"/>
  <c r="H10" i="9"/>
  <c r="H4" i="9"/>
  <c r="M7" i="9"/>
  <c r="H7" i="9"/>
  <c r="H8" i="9"/>
  <c r="H9" i="9"/>
  <c r="H5" i="9"/>
  <c r="M3" i="9"/>
  <c r="H3" i="9"/>
  <c r="M6" i="9"/>
  <c r="H6" i="9"/>
  <c r="H11" i="9"/>
  <c r="I10" i="9"/>
  <c r="O6" i="9"/>
  <c r="O3" i="9"/>
  <c r="I3" i="9"/>
  <c r="I9" i="9"/>
  <c r="B18" i="9"/>
  <c r="O4" i="9"/>
  <c r="I4" i="9"/>
  <c r="O7" i="9"/>
  <c r="B19" i="9"/>
  <c r="O8" i="9"/>
  <c r="B23" i="9"/>
  <c r="B20" i="9"/>
  <c r="B17" i="9"/>
  <c r="R13" i="9"/>
  <c r="O2" i="9"/>
  <c r="P2" i="9"/>
  <c r="P3" i="9"/>
  <c r="P4" i="9"/>
  <c r="O5" i="9"/>
  <c r="P5" i="9"/>
  <c r="P6" i="9"/>
  <c r="P7" i="9"/>
  <c r="P8" i="9"/>
  <c r="O9" i="9"/>
  <c r="P9" i="9"/>
  <c r="O10" i="9"/>
  <c r="P10" i="9"/>
  <c r="P11" i="9"/>
  <c r="R11" i="9"/>
  <c r="I5" i="9"/>
  <c r="I6" i="9"/>
  <c r="I8" i="9"/>
  <c r="I11" i="9"/>
  <c r="R10" i="9"/>
  <c r="R9" i="9"/>
  <c r="R8" i="9"/>
  <c r="R7" i="9"/>
  <c r="R6" i="9"/>
  <c r="R5" i="9"/>
  <c r="R4" i="9"/>
  <c r="R3" i="9"/>
  <c r="R2" i="9"/>
  <c r="B20" i="7"/>
  <c r="N13" i="7"/>
  <c r="M9" i="7"/>
  <c r="H9" i="7"/>
  <c r="M10" i="7"/>
  <c r="H10" i="7"/>
  <c r="M2" i="7"/>
  <c r="H2" i="7"/>
  <c r="M3" i="7"/>
  <c r="H3" i="7"/>
  <c r="M4" i="7"/>
  <c r="H4" i="7"/>
  <c r="M5" i="7"/>
  <c r="H5" i="7"/>
  <c r="M6" i="7"/>
  <c r="H6" i="7"/>
  <c r="M7" i="7"/>
  <c r="H7" i="7"/>
  <c r="M8" i="7"/>
  <c r="H8" i="7"/>
  <c r="H11" i="7"/>
  <c r="I10" i="7"/>
  <c r="I8" i="7"/>
  <c r="I6" i="7"/>
  <c r="I5" i="7"/>
  <c r="I4" i="7"/>
  <c r="I2" i="7"/>
  <c r="O8" i="7"/>
  <c r="B19" i="7"/>
  <c r="O4" i="7"/>
  <c r="B17" i="7"/>
  <c r="O3" i="7"/>
  <c r="O6" i="7"/>
  <c r="O7" i="7"/>
  <c r="C22" i="2"/>
  <c r="C23" i="7"/>
  <c r="B23" i="7"/>
  <c r="B18" i="7"/>
  <c r="R13" i="7"/>
  <c r="O2" i="7"/>
  <c r="P2" i="7"/>
  <c r="P3" i="7"/>
  <c r="P4" i="7"/>
  <c r="O5" i="7"/>
  <c r="P5" i="7"/>
  <c r="P6" i="7"/>
  <c r="P7" i="7"/>
  <c r="P8" i="7"/>
  <c r="O9" i="7"/>
  <c r="P9" i="7"/>
  <c r="O10" i="7"/>
  <c r="P10" i="7"/>
  <c r="P11" i="7"/>
  <c r="R11" i="7"/>
  <c r="I11" i="7"/>
  <c r="R10" i="7"/>
  <c r="R9" i="7"/>
  <c r="R8" i="7"/>
  <c r="R7" i="7"/>
  <c r="R6" i="7"/>
  <c r="R5" i="7"/>
  <c r="R4" i="7"/>
  <c r="R3" i="7"/>
  <c r="R2" i="7"/>
  <c r="C24" i="6"/>
  <c r="B21" i="6"/>
  <c r="B19" i="6"/>
  <c r="B18" i="6"/>
  <c r="B24" i="6"/>
  <c r="B22" i="2"/>
  <c r="N14" i="6"/>
  <c r="M11" i="6"/>
  <c r="M10" i="6"/>
  <c r="M8" i="6"/>
  <c r="M6" i="6"/>
  <c r="M2" i="6"/>
  <c r="H11" i="6"/>
  <c r="O11" i="6"/>
  <c r="H10" i="6"/>
  <c r="O9" i="6"/>
  <c r="M9" i="6"/>
  <c r="H9" i="6"/>
  <c r="T12" i="1"/>
  <c r="M7" i="6"/>
  <c r="O8" i="6"/>
  <c r="H8" i="6"/>
  <c r="H2" i="1"/>
  <c r="H3" i="1"/>
  <c r="M4" i="1"/>
  <c r="H4" i="1"/>
  <c r="H5" i="1"/>
  <c r="H6" i="1"/>
  <c r="H7" i="1"/>
  <c r="H8" i="1"/>
  <c r="H9" i="1"/>
  <c r="H10" i="1"/>
  <c r="H11" i="1"/>
  <c r="H12" i="1"/>
  <c r="O7" i="6"/>
  <c r="H7" i="6"/>
  <c r="O6" i="6"/>
  <c r="H6" i="6"/>
  <c r="O5" i="6"/>
  <c r="M5" i="6"/>
  <c r="M4" i="6"/>
  <c r="M3" i="6"/>
  <c r="H5" i="6"/>
  <c r="H4" i="6"/>
  <c r="H3" i="6"/>
  <c r="H2" i="6"/>
  <c r="O2" i="6"/>
  <c r="S14" i="6"/>
  <c r="P2" i="6"/>
  <c r="O3" i="6"/>
  <c r="P3" i="6"/>
  <c r="O4" i="6"/>
  <c r="P4" i="6"/>
  <c r="P5" i="6"/>
  <c r="P6" i="6"/>
  <c r="P7" i="6"/>
  <c r="P8" i="6"/>
  <c r="P9" i="6"/>
  <c r="O10" i="6"/>
  <c r="P10" i="6"/>
  <c r="P11" i="6"/>
  <c r="P12" i="6"/>
  <c r="H12" i="6"/>
  <c r="S12" i="6"/>
  <c r="I12" i="6"/>
  <c r="S11" i="6"/>
  <c r="S10" i="6"/>
  <c r="S9" i="6"/>
  <c r="S8" i="6"/>
  <c r="S7" i="6"/>
  <c r="S6" i="6"/>
  <c r="S5" i="6"/>
  <c r="S4" i="6"/>
  <c r="S3" i="6"/>
  <c r="S2" i="6"/>
  <c r="N14" i="2"/>
  <c r="B17" i="2"/>
  <c r="O7" i="1"/>
  <c r="P7" i="1"/>
  <c r="O8" i="1"/>
  <c r="P8" i="1"/>
  <c r="O9" i="1"/>
  <c r="P9" i="1"/>
  <c r="O10" i="1"/>
  <c r="P10" i="1"/>
  <c r="O5" i="1"/>
  <c r="P5" i="1"/>
  <c r="O6" i="1"/>
  <c r="P6" i="1"/>
  <c r="O11" i="1"/>
  <c r="P11" i="1"/>
  <c r="O2" i="1"/>
  <c r="P2" i="1"/>
  <c r="O3" i="1"/>
  <c r="P3" i="1"/>
  <c r="O4" i="1"/>
  <c r="P4" i="1"/>
  <c r="P12" i="1"/>
  <c r="R12" i="1"/>
  <c r="S14" i="2"/>
  <c r="O2" i="2"/>
  <c r="P2" i="2"/>
  <c r="O3" i="2"/>
  <c r="P3" i="2"/>
  <c r="O4" i="2"/>
  <c r="P4" i="2"/>
  <c r="O5" i="2"/>
  <c r="P5" i="2"/>
  <c r="O6" i="2"/>
  <c r="P6" i="2"/>
  <c r="O7" i="2"/>
  <c r="P7" i="2"/>
  <c r="O8" i="2"/>
  <c r="P8" i="2"/>
  <c r="O9" i="2"/>
  <c r="P9" i="2"/>
  <c r="O10" i="2"/>
  <c r="P10" i="2"/>
  <c r="O11" i="2"/>
  <c r="P11" i="2"/>
  <c r="P12" i="2"/>
  <c r="M2" i="2"/>
  <c r="H2" i="2"/>
  <c r="M3" i="2"/>
  <c r="H3" i="2"/>
  <c r="M4" i="2"/>
  <c r="H4" i="2"/>
  <c r="M5" i="2"/>
  <c r="H5" i="2"/>
  <c r="M6" i="2"/>
  <c r="H6" i="2"/>
  <c r="M7" i="2"/>
  <c r="H7" i="2"/>
  <c r="M8" i="2"/>
  <c r="H8" i="2"/>
  <c r="M9" i="2"/>
  <c r="H9" i="2"/>
  <c r="M10" i="2"/>
  <c r="H10" i="2"/>
  <c r="M11" i="2"/>
  <c r="H11" i="2"/>
  <c r="H12" i="2"/>
  <c r="S12" i="2"/>
  <c r="Q3" i="2"/>
  <c r="Q6" i="2"/>
  <c r="Q8" i="2"/>
  <c r="Q9" i="2"/>
  <c r="Q10" i="2"/>
  <c r="Q11" i="2"/>
  <c r="Q12" i="2"/>
  <c r="I3" i="2"/>
  <c r="I6" i="2"/>
  <c r="I8" i="2"/>
  <c r="I9" i="2"/>
  <c r="I10" i="2"/>
  <c r="I11" i="2"/>
  <c r="I12" i="2"/>
  <c r="S11" i="2"/>
  <c r="S10" i="2"/>
  <c r="S9" i="2"/>
  <c r="S8" i="2"/>
  <c r="S7" i="2"/>
  <c r="S6" i="2"/>
  <c r="S5" i="2"/>
  <c r="S4" i="2"/>
  <c r="S3" i="2"/>
  <c r="S2" i="2"/>
  <c r="R3" i="1"/>
  <c r="R4" i="1"/>
  <c r="R5" i="1"/>
  <c r="R6" i="1"/>
  <c r="R7" i="1"/>
  <c r="R8" i="1"/>
  <c r="R9" i="1"/>
  <c r="R10" i="1"/>
  <c r="R11" i="1"/>
  <c r="R2" i="1"/>
  <c r="Q3" i="1"/>
  <c r="I3" i="1"/>
  <c r="Q5" i="1"/>
  <c r="I5" i="1"/>
  <c r="Q7" i="1"/>
  <c r="I7" i="1"/>
  <c r="Q9" i="1"/>
  <c r="I9" i="1"/>
  <c r="I10" i="1"/>
  <c r="Q10" i="1"/>
  <c r="Q11" i="1"/>
  <c r="I11" i="1"/>
  <c r="I12" i="1"/>
</calcChain>
</file>

<file path=xl/sharedStrings.xml><?xml version="1.0" encoding="utf-8"?>
<sst xmlns="http://schemas.openxmlformats.org/spreadsheetml/2006/main" count="534" uniqueCount="234">
  <si>
    <t>Branche</t>
  </si>
  <si>
    <t>Unternehmen</t>
  </si>
  <si>
    <t>Branche Detail</t>
  </si>
  <si>
    <t>Anteil in %</t>
  </si>
  <si>
    <t>Gesundheit</t>
  </si>
  <si>
    <t>Dienstleister Klinikbetreiber</t>
  </si>
  <si>
    <t>Ramsay Health Care</t>
  </si>
  <si>
    <t>Australien</t>
  </si>
  <si>
    <t>Chemie Duft- und Geschmacksstoffe</t>
  </si>
  <si>
    <t>Symrise</t>
  </si>
  <si>
    <t>Europa</t>
  </si>
  <si>
    <t>Kontinent</t>
  </si>
  <si>
    <t>Land</t>
  </si>
  <si>
    <t>Währung</t>
  </si>
  <si>
    <t>AU$</t>
  </si>
  <si>
    <t>Deutschland</t>
  </si>
  <si>
    <t>€</t>
  </si>
  <si>
    <t>Konsum nicht zyklisch</t>
  </si>
  <si>
    <t>Drogerie Reinigung Hygiene industriell</t>
  </si>
  <si>
    <t>Ecolab</t>
  </si>
  <si>
    <t>Amerika</t>
  </si>
  <si>
    <t>USA</t>
  </si>
  <si>
    <t>US$</t>
  </si>
  <si>
    <t>Bekleidung Sport</t>
  </si>
  <si>
    <t>Nike</t>
  </si>
  <si>
    <t>Grundnahrungsmittel</t>
  </si>
  <si>
    <t>Industrie</t>
  </si>
  <si>
    <t xml:space="preserve">Zulieferer Verkehr </t>
  </si>
  <si>
    <t>Shimano</t>
  </si>
  <si>
    <t>Asien</t>
  </si>
  <si>
    <t>Japan</t>
  </si>
  <si>
    <t>Yen</t>
  </si>
  <si>
    <t>Zulieferer Verpackungen</t>
  </si>
  <si>
    <t>Bunzl</t>
  </si>
  <si>
    <t>England</t>
  </si>
  <si>
    <t>Pfund</t>
  </si>
  <si>
    <t>Tabak</t>
  </si>
  <si>
    <t>Altria</t>
  </si>
  <si>
    <t>Technologie</t>
  </si>
  <si>
    <t>IT-Denstleister</t>
  </si>
  <si>
    <t>CGI</t>
  </si>
  <si>
    <t>Kanada</t>
  </si>
  <si>
    <t>CA$</t>
  </si>
  <si>
    <t>Hardware Halbleiter</t>
  </si>
  <si>
    <t>Taiwan Semiconductor</t>
  </si>
  <si>
    <t>Taiwan</t>
  </si>
  <si>
    <t>Sonstige</t>
  </si>
  <si>
    <t>Dienstleister Outsourcing Inkasso</t>
  </si>
  <si>
    <t>Intrum Justitia</t>
  </si>
  <si>
    <t>Schweden</t>
  </si>
  <si>
    <t>SEK</t>
  </si>
  <si>
    <t>Trend</t>
  </si>
  <si>
    <t>200 T. unterschritten</t>
  </si>
  <si>
    <t>abwärts stark</t>
  </si>
  <si>
    <t xml:space="preserve">abwärts leicht </t>
  </si>
  <si>
    <t>Kurs €</t>
  </si>
  <si>
    <t>WKN</t>
  </si>
  <si>
    <t>A0ET3E GB</t>
  </si>
  <si>
    <t>874338 AU</t>
  </si>
  <si>
    <t>SYM999 DE</t>
  </si>
  <si>
    <t>abwärts mittel</t>
  </si>
  <si>
    <t>865682 JP</t>
  </si>
  <si>
    <t>912483 CA</t>
  </si>
  <si>
    <t>909800 TW</t>
  </si>
  <si>
    <t>ATH</t>
  </si>
  <si>
    <t>854545 US</t>
  </si>
  <si>
    <t>aufwärts leicht</t>
  </si>
  <si>
    <t>866993 US</t>
  </si>
  <si>
    <t>200417 US</t>
  </si>
  <si>
    <t>633824 SE</t>
  </si>
  <si>
    <t>Performance in €</t>
  </si>
  <si>
    <t>Kurs Heimat-währung</t>
  </si>
  <si>
    <t>MSCI World Index</t>
  </si>
  <si>
    <t>Menge</t>
  </si>
  <si>
    <t>Performance effektiv p.a.</t>
  </si>
  <si>
    <t>aufwärts mittel</t>
  </si>
  <si>
    <t>knapp unter ATH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</si>
  <si>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30.08.2017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</si>
  <si>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04.10.2017</t>
    </r>
  </si>
  <si>
    <t>Medizintechnik Bedarfsartikel</t>
  </si>
  <si>
    <t>Coloplast</t>
  </si>
  <si>
    <t>A1KAGC DK</t>
  </si>
  <si>
    <t>Dänemark</t>
  </si>
  <si>
    <t>DKK</t>
  </si>
  <si>
    <t>Paul Hartmann</t>
  </si>
  <si>
    <t>747404 DE</t>
  </si>
  <si>
    <t xml:space="preserve">Zulieferer Sanitär </t>
  </si>
  <si>
    <t>Geberit</t>
  </si>
  <si>
    <t>A0MQWG CH</t>
  </si>
  <si>
    <t>Schweiz</t>
  </si>
  <si>
    <t>CHF</t>
  </si>
  <si>
    <t>200 T.</t>
  </si>
  <si>
    <t>Holding Immobilien Hotels Bau Einzelhandel</t>
  </si>
  <si>
    <t>Jardine Matheson</t>
  </si>
  <si>
    <t>869042 HK</t>
  </si>
  <si>
    <t>Hong Kong</t>
  </si>
  <si>
    <t xml:space="preserve">Zulieferer Verkehr Flugzeuge Komponenten </t>
  </si>
  <si>
    <t>TransDigM</t>
  </si>
  <si>
    <t>A0JEP3 US</t>
  </si>
  <si>
    <t>Handel Online Versand etc.</t>
  </si>
  <si>
    <t>Amazon</t>
  </si>
  <si>
    <t>906866 US</t>
  </si>
  <si>
    <t xml:space="preserve">Drogerie Reinigung Pflege </t>
  </si>
  <si>
    <t>Church &amp; Dwight</t>
  </si>
  <si>
    <t>864371 US</t>
  </si>
  <si>
    <t>Internet Suchmaschine Online Spiele Musikstreaming</t>
  </si>
  <si>
    <t>NetEase</t>
  </si>
  <si>
    <t>501822 CN</t>
  </si>
  <si>
    <t>China</t>
  </si>
  <si>
    <t>Dienstleister Catering Gebäudemanagement</t>
  </si>
  <si>
    <t>Sodexo</t>
  </si>
  <si>
    <t>870935 FR</t>
  </si>
  <si>
    <t>Frankreich</t>
  </si>
  <si>
    <t>Energie &amp; Rohstoffe</t>
  </si>
  <si>
    <t>Energieversorger Erdgas Strom erneuerbare Dienstleister Energieb.</t>
  </si>
  <si>
    <t>887836 US</t>
  </si>
  <si>
    <t>Währungen</t>
  </si>
  <si>
    <t>GBP</t>
  </si>
  <si>
    <t>GBP (Britisches Pfund)</t>
  </si>
  <si>
    <t>Basiskonsum</t>
  </si>
  <si>
    <t>Kurs aktuell</t>
  </si>
  <si>
    <t>Kurs in €  aktuell</t>
  </si>
  <si>
    <t>Wert aktuell</t>
  </si>
  <si>
    <t>Stand</t>
  </si>
  <si>
    <t>Dauer in Jahren</t>
  </si>
  <si>
    <t>Aufwärts ca. 3,4%</t>
  </si>
  <si>
    <t>Energie</t>
  </si>
  <si>
    <t>Versorger Betreiber Pipeline System</t>
  </si>
  <si>
    <t>Enbridge</t>
  </si>
  <si>
    <t>885427 CA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</si>
  <si>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02.03.2018</t>
    </r>
  </si>
  <si>
    <t>Finanzen</t>
  </si>
  <si>
    <t>Bank</t>
  </si>
  <si>
    <t>HDFC Bank</t>
  </si>
  <si>
    <t>694482 IND</t>
  </si>
  <si>
    <t>Indien</t>
  </si>
  <si>
    <t>knapp unter 200-T.</t>
  </si>
  <si>
    <t>Drogerie Reinigung Klebstoffe</t>
  </si>
  <si>
    <t>Henkel</t>
  </si>
  <si>
    <t>604843 DE</t>
  </si>
  <si>
    <t>Rational</t>
  </si>
  <si>
    <t>Cisco</t>
  </si>
  <si>
    <t>Constellation Brands</t>
  </si>
  <si>
    <t>871918 US</t>
  </si>
  <si>
    <t>Getränke Wein Bier Spirituosen</t>
  </si>
  <si>
    <t>Maschinenbau Küchen Groß- und Gewerbe</t>
  </si>
  <si>
    <t>701080 DE</t>
  </si>
  <si>
    <t>abwärts 5% unter 200-T.</t>
  </si>
  <si>
    <t>Großbritanien</t>
  </si>
  <si>
    <t>aktuell</t>
  </si>
  <si>
    <t>Dienstleister Analyseverfahren Labor</t>
  </si>
  <si>
    <t>Eurofins Scientific</t>
  </si>
  <si>
    <t>910251 FR</t>
  </si>
  <si>
    <t>Hardware Netzwerkausrüster</t>
  </si>
  <si>
    <t>878841 US</t>
  </si>
  <si>
    <t>aufwärts stark</t>
  </si>
  <si>
    <t>Cerner</t>
  </si>
  <si>
    <t>Software - Healthcare-Informationstechnologie-Lösungen</t>
  </si>
  <si>
    <t>Aufwärts - 2,36%</t>
  </si>
  <si>
    <t>Grenke</t>
  </si>
  <si>
    <r>
      <t>892807</t>
    </r>
    <r>
      <rPr>
        <sz val="12"/>
        <color theme="1"/>
        <rFont val="Calibri"/>
        <family val="2"/>
        <charset val="204"/>
        <scheme val="minor"/>
      </rPr>
      <t xml:space="preserve"> US</t>
    </r>
  </si>
  <si>
    <t>A161N3 DE</t>
  </si>
  <si>
    <t>3M</t>
  </si>
  <si>
    <t>851745 US</t>
  </si>
  <si>
    <t>Abwärts - -8,43%</t>
  </si>
  <si>
    <t>Konsum</t>
  </si>
  <si>
    <t>Alibaba</t>
  </si>
  <si>
    <t>A117ME CN</t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</si>
  <si>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17.08.2018</t>
    </r>
  </si>
  <si>
    <t>Abwärts - -8,58%</t>
  </si>
  <si>
    <t>Internet - Neue Technologien Soziale Netzwerke Online Spiele</t>
  </si>
  <si>
    <t>Handel - Online Handelsplattform</t>
  </si>
  <si>
    <t>Holding - Medizin Sicherh. Elektron. Telekommunik. Industrie Büroart.</t>
  </si>
  <si>
    <t>Finanzdienstleister - Leasing Miete Services Remarketing IT-Equipment Bürokommunikation</t>
  </si>
  <si>
    <t>Tencent Holdings</t>
  </si>
  <si>
    <t>A1138D KY</t>
  </si>
  <si>
    <t>Abwärts - -22,56%</t>
  </si>
  <si>
    <t>Dienstleister - Hausverwaltung Wäscherei Catering Altenpflege</t>
  </si>
  <si>
    <t>Healthcare Service Group</t>
  </si>
  <si>
    <t>870932 US</t>
  </si>
  <si>
    <t>Abwärts - -10,12%</t>
  </si>
  <si>
    <t>Biotechnologie - Beteiligungsgesellschaft</t>
  </si>
  <si>
    <t>BB Biotech</t>
  </si>
  <si>
    <t>A0NFN3 CH</t>
  </si>
  <si>
    <t>Tyson Foods</t>
  </si>
  <si>
    <t>Lebensmittel - Hersteller Fleisch- Fertigprodukte</t>
  </si>
  <si>
    <t>870625 US</t>
  </si>
  <si>
    <t>Abwärts - -19,00%</t>
  </si>
  <si>
    <t>Industrie - Zulieferer Bau Sicherheitst. Sicherheitssyst. Schließlösungen</t>
  </si>
  <si>
    <t>Assa Abloy</t>
  </si>
  <si>
    <t>A14TVM SE</t>
  </si>
  <si>
    <t>Aufwärts - 1,83%</t>
  </si>
  <si>
    <t>Aufwärts - 0,91%</t>
  </si>
  <si>
    <t>200 Tage Linie - -0,86%</t>
  </si>
  <si>
    <r>
      <t xml:space="preserve">Industrie - </t>
    </r>
    <r>
      <rPr>
        <sz val="12"/>
        <color theme="1"/>
        <rFont val="Calibri"/>
        <family val="2"/>
        <charset val="204"/>
        <scheme val="minor"/>
      </rPr>
      <t xml:space="preserve">Maschinen- und Anlagenbau Rolltreppen Aufzüge </t>
    </r>
  </si>
  <si>
    <t>Schindler</t>
  </si>
  <si>
    <t>A0JEHV CH</t>
  </si>
  <si>
    <t>Industrie - Maschinen- und Anlagenbau Küchen für Großgewerbe</t>
  </si>
  <si>
    <r>
      <t xml:space="preserve">Lebensmittel - Hersteller </t>
    </r>
    <r>
      <rPr>
        <sz val="12"/>
        <color theme="1"/>
        <rFont val="Calibri"/>
        <family val="2"/>
        <charset val="204"/>
        <scheme val="minor"/>
      </rPr>
      <t>Allgemein</t>
    </r>
  </si>
  <si>
    <t>Sysco</t>
  </si>
  <si>
    <t>859121 US</t>
  </si>
  <si>
    <r>
      <t>200 Tage Linie - -0,</t>
    </r>
    <r>
      <rPr>
        <sz val="12"/>
        <color theme="1"/>
        <rFont val="Calibri"/>
        <family val="2"/>
        <charset val="204"/>
        <scheme val="minor"/>
      </rPr>
      <t>46</t>
    </r>
    <r>
      <rPr>
        <sz val="12"/>
        <color theme="1"/>
        <rFont val="Calibri"/>
        <family val="2"/>
        <charset val="204"/>
        <scheme val="minor"/>
      </rPr>
      <t>%</t>
    </r>
  </si>
  <si>
    <t>Intercontinental Hotels Group</t>
  </si>
  <si>
    <t>Gastronomie Hotelgewerbe</t>
  </si>
  <si>
    <t>Dienstleister Finanzen Ratingagentur</t>
  </si>
  <si>
    <t>S&amp;P Global</t>
  </si>
  <si>
    <t>A2AHZ7 US</t>
  </si>
  <si>
    <t>Chemie - Industrie Agrar Bau Öl</t>
  </si>
  <si>
    <t>BASF</t>
  </si>
  <si>
    <t>BASF11 DE</t>
  </si>
  <si>
    <r>
      <t>Abwärts - -1</t>
    </r>
    <r>
      <rPr>
        <sz val="12"/>
        <color theme="1"/>
        <rFont val="Calibri"/>
        <family val="2"/>
        <charset val="204"/>
        <scheme val="minor"/>
      </rPr>
      <t>6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59</t>
    </r>
    <r>
      <rPr>
        <sz val="12"/>
        <color theme="1"/>
        <rFont val="Calibri"/>
        <family val="2"/>
        <charset val="204"/>
        <scheme val="minor"/>
      </rPr>
      <t>%</t>
    </r>
  </si>
  <si>
    <t>Salesforce.com</t>
  </si>
  <si>
    <t xml:space="preserve">zyklisch - Luxusgüter - Kosmetik Spirituosen Mode </t>
  </si>
  <si>
    <t>LVMH</t>
  </si>
  <si>
    <t>853292 FR</t>
  </si>
  <si>
    <r>
      <t>Abwärts - -8,</t>
    </r>
    <r>
      <rPr>
        <sz val="12"/>
        <color theme="1"/>
        <rFont val="Calibri"/>
        <family val="2"/>
        <charset val="204"/>
        <scheme val="minor"/>
      </rPr>
      <t>89</t>
    </r>
    <r>
      <rPr>
        <sz val="12"/>
        <color theme="1"/>
        <rFont val="Calibri"/>
        <family val="2"/>
        <charset val="204"/>
        <scheme val="minor"/>
      </rPr>
      <t>%</t>
    </r>
  </si>
  <si>
    <t>Dienstleister - Gesundheitsfürs. Pflege Altenpflege Betreiber Einricht. pflegebed. Menschen</t>
  </si>
  <si>
    <t>Orpea</t>
  </si>
  <si>
    <t>575626 FR</t>
  </si>
  <si>
    <r>
      <t xml:space="preserve">Aufwärts - </t>
    </r>
    <r>
      <rPr>
        <sz val="12"/>
        <color theme="1"/>
        <rFont val="Calibri"/>
        <family val="2"/>
        <charset val="204"/>
        <scheme val="minor"/>
      </rPr>
      <t>16,22</t>
    </r>
    <r>
      <rPr>
        <sz val="12"/>
        <color theme="1"/>
        <rFont val="Calibri"/>
        <family val="2"/>
        <charset val="204"/>
        <scheme val="minor"/>
      </rPr>
      <t>%</t>
    </r>
  </si>
  <si>
    <t>Software - Cloud Computing</t>
  </si>
  <si>
    <t>A0B87V US</t>
  </si>
  <si>
    <r>
      <t>Ab</t>
    </r>
    <r>
      <rPr>
        <sz val="12"/>
        <color theme="1"/>
        <rFont val="Calibri"/>
        <family val="2"/>
        <charset val="204"/>
        <scheme val="minor"/>
      </rPr>
      <t xml:space="preserve">wärts - </t>
    </r>
    <r>
      <rPr>
        <sz val="12"/>
        <color theme="1"/>
        <rFont val="Calibri"/>
        <family val="2"/>
        <charset val="204"/>
        <scheme val="minor"/>
      </rPr>
      <t>10</t>
    </r>
    <r>
      <rPr>
        <sz val="12"/>
        <color theme="1"/>
        <rFont val="Calibri"/>
        <family val="2"/>
        <charset val="204"/>
        <scheme val="minor"/>
      </rPr>
      <t>,</t>
    </r>
    <r>
      <rPr>
        <sz val="12"/>
        <color theme="1"/>
        <rFont val="Calibri"/>
        <family val="2"/>
        <charset val="204"/>
        <scheme val="minor"/>
      </rPr>
      <t>16</t>
    </r>
    <r>
      <rPr>
        <sz val="12"/>
        <color theme="1"/>
        <rFont val="Calibri"/>
        <family val="2"/>
        <charset val="204"/>
        <scheme val="minor"/>
      </rPr>
      <t>%</t>
    </r>
  </si>
  <si>
    <t>Abwärts - -4,86%</t>
  </si>
  <si>
    <r>
      <t>Abwärts</t>
    </r>
    <r>
      <rPr>
        <sz val="12"/>
        <color theme="1"/>
        <rFont val="Calibri"/>
        <family val="2"/>
        <charset val="204"/>
        <scheme val="minor"/>
      </rPr>
      <t xml:space="preserve"> - -</t>
    </r>
    <r>
      <rPr>
        <sz val="12"/>
        <color theme="1"/>
        <rFont val="Calibri"/>
        <family val="2"/>
        <charset val="204"/>
        <scheme val="minor"/>
      </rPr>
      <t>9,43%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</si>
  <si>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9,18%</t>
    </r>
  </si>
  <si>
    <r>
      <t>Wert</t>
    </r>
    <r>
      <rPr>
        <sz val="12"/>
        <color theme="1"/>
        <rFont val="Calibri"/>
        <family val="2"/>
        <charset val="204"/>
        <scheme val="minor"/>
      </rPr>
      <t xml:space="preserve"> 20.11.2018</t>
    </r>
  </si>
  <si>
    <t>Mittags</t>
  </si>
  <si>
    <r>
      <t>A</t>
    </r>
    <r>
      <rPr>
        <sz val="12"/>
        <color theme="1"/>
        <rFont val="Calibri"/>
        <family val="2"/>
        <charset val="204"/>
        <scheme val="minor"/>
      </rPr>
      <t>bwärts - 9,21%</t>
    </r>
  </si>
  <si>
    <r>
      <t>Abwärts - -</t>
    </r>
    <r>
      <rPr>
        <sz val="12"/>
        <color theme="1"/>
        <rFont val="Calibri"/>
        <family val="2"/>
        <charset val="204"/>
        <scheme val="minor"/>
      </rPr>
      <t>9,75%</t>
    </r>
  </si>
  <si>
    <t>A2PA4R GB</t>
  </si>
  <si>
    <r>
      <t xml:space="preserve">Dividenden-rendite </t>
    </r>
    <r>
      <rPr>
        <sz val="12"/>
        <color theme="1"/>
        <rFont val="Calibri"/>
        <family val="2"/>
        <charset val="204"/>
        <scheme val="minor"/>
      </rPr>
      <t>aktuell</t>
    </r>
  </si>
  <si>
    <t>15:30 Uhr</t>
  </si>
  <si>
    <r>
      <t>UGI</t>
    </r>
    <r>
      <rPr>
        <sz val="12"/>
        <color theme="1"/>
        <rFont val="Calibri"/>
        <family val="2"/>
        <charset val="204"/>
        <scheme val="minor"/>
      </rPr>
      <t xml:space="preserve"> Corp.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</si>
</sst>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0">
    <xf numFmtId="0" fontId="0" fillId="0" borderId="0"/>
    <xf numFmtId="0" fontId="15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71">
    <xf numFmtId="0" fontId="0" fillId="0" borderId="0" xfId="0"/>
    <xf numFmtId="0" fontId="14" fillId="0" borderId="0" xfId="0" applyFont="1"/>
    <xf numFmtId="4" fontId="14" fillId="0" borderId="0" xfId="0" applyNumberFormat="1" applyFont="1"/>
    <xf numFmtId="10" fontId="14" fillId="0" borderId="0" xfId="0" applyNumberFormat="1" applyFont="1"/>
    <xf numFmtId="0" fontId="16" fillId="0" borderId="0" xfId="0" applyFont="1"/>
    <xf numFmtId="0" fontId="14" fillId="0" borderId="1" xfId="0" applyFont="1" applyBorder="1"/>
    <xf numFmtId="4" fontId="14" fillId="0" borderId="1" xfId="0" applyNumberFormat="1" applyFont="1" applyBorder="1"/>
    <xf numFmtId="10" fontId="14" fillId="0" borderId="1" xfId="0" applyNumberFormat="1" applyFont="1" applyBorder="1"/>
    <xf numFmtId="4" fontId="14" fillId="0" borderId="1" xfId="0" applyNumberFormat="1" applyFont="1" applyBorder="1" applyAlignment="1">
      <alignment wrapText="1"/>
    </xf>
    <xf numFmtId="10" fontId="14" fillId="0" borderId="1" xfId="0" applyNumberFormat="1" applyFont="1" applyBorder="1" applyAlignment="1">
      <alignment wrapText="1"/>
    </xf>
    <xf numFmtId="0" fontId="16" fillId="0" borderId="1" xfId="0" applyFont="1" applyBorder="1"/>
    <xf numFmtId="4" fontId="16" fillId="0" borderId="1" xfId="0" applyNumberFormat="1" applyFont="1" applyBorder="1"/>
    <xf numFmtId="10" fontId="16" fillId="0" borderId="1" xfId="0" applyNumberFormat="1" applyFont="1" applyBorder="1"/>
    <xf numFmtId="0" fontId="13" fillId="2" borderId="0" xfId="0" applyFont="1" applyFill="1"/>
    <xf numFmtId="0" fontId="14" fillId="2" borderId="0" xfId="0" applyFont="1" applyFill="1"/>
    <xf numFmtId="4" fontId="14" fillId="2" borderId="0" xfId="0" applyNumberFormat="1" applyFont="1" applyFill="1"/>
    <xf numFmtId="10" fontId="14" fillId="2" borderId="0" xfId="0" applyNumberFormat="1" applyFont="1" applyFill="1"/>
    <xf numFmtId="1" fontId="12" fillId="0" borderId="1" xfId="0" applyNumberFormat="1" applyFont="1" applyBorder="1" applyAlignment="1">
      <alignment wrapText="1"/>
    </xf>
    <xf numFmtId="1" fontId="14" fillId="0" borderId="1" xfId="0" applyNumberFormat="1" applyFont="1" applyBorder="1"/>
    <xf numFmtId="1" fontId="16" fillId="0" borderId="1" xfId="0" applyNumberFormat="1" applyFont="1" applyBorder="1"/>
    <xf numFmtId="1" fontId="14" fillId="2" borderId="0" xfId="0" applyNumberFormat="1" applyFont="1" applyFill="1"/>
    <xf numFmtId="1" fontId="14" fillId="0" borderId="0" xfId="0" applyNumberFormat="1" applyFont="1"/>
    <xf numFmtId="4" fontId="12" fillId="0" borderId="1" xfId="0" applyNumberFormat="1" applyFont="1" applyBorder="1"/>
    <xf numFmtId="10" fontId="12" fillId="0" borderId="1" xfId="0" applyNumberFormat="1" applyFont="1" applyBorder="1" applyAlignment="1">
      <alignment wrapText="1"/>
    </xf>
    <xf numFmtId="4" fontId="11" fillId="2" borderId="0" xfId="0" applyNumberFormat="1" applyFont="1" applyFill="1"/>
    <xf numFmtId="4" fontId="11" fillId="0" borderId="1" xfId="0" applyNumberFormat="1" applyFont="1" applyBorder="1" applyAlignment="1">
      <alignment wrapText="1"/>
    </xf>
    <xf numFmtId="4" fontId="11" fillId="0" borderId="1" xfId="0" applyNumberFormat="1" applyFont="1" applyBorder="1"/>
    <xf numFmtId="0" fontId="11" fillId="2" borderId="0" xfId="0" applyFont="1" applyFill="1"/>
    <xf numFmtId="4" fontId="10" fillId="0" borderId="1" xfId="0" applyNumberFormat="1" applyFont="1" applyBorder="1"/>
    <xf numFmtId="0" fontId="9" fillId="0" borderId="1" xfId="0" applyFont="1" applyBorder="1"/>
    <xf numFmtId="4" fontId="9" fillId="0" borderId="1" xfId="0" applyNumberFormat="1" applyFont="1" applyBorder="1" applyAlignment="1">
      <alignment wrapText="1"/>
    </xf>
    <xf numFmtId="10" fontId="9" fillId="0" borderId="1" xfId="0" applyNumberFormat="1" applyFont="1" applyBorder="1"/>
    <xf numFmtId="1" fontId="9" fillId="0" borderId="1" xfId="0" applyNumberFormat="1" applyFont="1" applyBorder="1" applyAlignment="1">
      <alignment wrapText="1"/>
    </xf>
    <xf numFmtId="4" fontId="9" fillId="0" borderId="1" xfId="0" applyNumberFormat="1" applyFont="1" applyBorder="1"/>
    <xf numFmtId="10" fontId="9" fillId="0" borderId="1" xfId="0" applyNumberFormat="1" applyFont="1" applyBorder="1" applyAlignment="1">
      <alignment wrapText="1"/>
    </xf>
    <xf numFmtId="0" fontId="9" fillId="0" borderId="0" xfId="0" applyFont="1"/>
    <xf numFmtId="1" fontId="9" fillId="0" borderId="1" xfId="0" applyNumberFormat="1" applyFont="1" applyBorder="1"/>
    <xf numFmtId="0" fontId="9" fillId="0" borderId="1" xfId="0" applyFont="1" applyFill="1" applyBorder="1"/>
    <xf numFmtId="0" fontId="20" fillId="0" borderId="1" xfId="0" applyFont="1" applyBorder="1"/>
    <xf numFmtId="0" fontId="0" fillId="0" borderId="1" xfId="0" applyFont="1" applyBorder="1" applyAlignment="1">
      <alignment wrapText="1"/>
    </xf>
    <xf numFmtId="0" fontId="9" fillId="2" borderId="0" xfId="0" applyFont="1" applyFill="1"/>
    <xf numFmtId="4" fontId="9" fillId="2" borderId="0" xfId="0" applyNumberFormat="1" applyFont="1" applyFill="1"/>
    <xf numFmtId="10" fontId="9" fillId="2" borderId="0" xfId="0" applyNumberFormat="1" applyFont="1" applyFill="1"/>
    <xf numFmtId="1" fontId="9" fillId="2" borderId="0" xfId="0" applyNumberFormat="1" applyFont="1" applyFill="1"/>
    <xf numFmtId="4" fontId="9" fillId="0" borderId="0" xfId="0" applyNumberFormat="1" applyFont="1"/>
    <xf numFmtId="10" fontId="9" fillId="0" borderId="0" xfId="0" applyNumberFormat="1" applyFont="1"/>
    <xf numFmtId="1" fontId="9" fillId="0" borderId="0" xfId="0" applyNumberFormat="1" applyFont="1"/>
    <xf numFmtId="4" fontId="8" fillId="0" borderId="1" xfId="0" applyNumberFormat="1" applyFont="1" applyBorder="1" applyAlignment="1">
      <alignment wrapText="1"/>
    </xf>
    <xf numFmtId="0" fontId="8" fillId="0" borderId="0" xfId="0" applyFont="1"/>
    <xf numFmtId="14" fontId="14" fillId="0" borderId="0" xfId="0" applyNumberFormat="1" applyFont="1"/>
    <xf numFmtId="0" fontId="8" fillId="2" borderId="0" xfId="0" applyFont="1" applyFill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0" xfId="0" applyFont="1"/>
    <xf numFmtId="0" fontId="21" fillId="0" borderId="0" xfId="0" applyFont="1"/>
    <xf numFmtId="0" fontId="6" fillId="2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6" fillId="0" borderId="0" xfId="0" applyFont="1"/>
    <xf numFmtId="10" fontId="16" fillId="0" borderId="0" xfId="0" applyNumberFormat="1" applyFont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2" borderId="0" xfId="0" applyFont="1" applyFill="1"/>
    <xf numFmtId="4" fontId="4" fillId="0" borderId="1" xfId="0" applyNumberFormat="1" applyFont="1" applyBorder="1" applyAlignment="1">
      <alignment wrapText="1"/>
    </xf>
    <xf numFmtId="0" fontId="4" fillId="0" borderId="0" xfId="0" applyFont="1"/>
    <xf numFmtId="10" fontId="3" fillId="0" borderId="1" xfId="0" applyNumberFormat="1" applyFont="1" applyBorder="1" applyAlignment="1">
      <alignment wrapText="1"/>
    </xf>
    <xf numFmtId="0" fontId="2" fillId="0" borderId="1" xfId="0" applyFont="1" applyBorder="1"/>
    <xf numFmtId="0" fontId="1" fillId="0" borderId="1" xfId="0" applyFont="1" applyFill="1" applyBorder="1"/>
  </cellXfs>
  <cellStyles count="290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Besuchter Link" xfId="135" builtinId="9" hidden="1"/>
    <cellStyle name="Besuchter Link" xfId="137" builtinId="9" hidden="1"/>
    <cellStyle name="Besuchter Link" xfId="139" builtinId="9" hidden="1"/>
    <cellStyle name="Besuchter Link" xfId="141" builtinId="9" hidden="1"/>
    <cellStyle name="Besuchter Link" xfId="143" builtinId="9" hidden="1"/>
    <cellStyle name="Besuchter Link" xfId="145" builtinId="9" hidden="1"/>
    <cellStyle name="Besuchter Link" xfId="147" builtinId="9" hidden="1"/>
    <cellStyle name="Besuchter Link" xfId="149" builtinId="9" hidden="1"/>
    <cellStyle name="Besuchter Link" xfId="151" builtinId="9" hidden="1"/>
    <cellStyle name="Besuchter Link" xfId="153" builtinId="9" hidden="1"/>
    <cellStyle name="Besuchter Link" xfId="155" builtinId="9" hidden="1"/>
    <cellStyle name="Besuchter Link" xfId="157" builtinId="9" hidden="1"/>
    <cellStyle name="Besuchter Link" xfId="159" builtinId="9" hidden="1"/>
    <cellStyle name="Besuchter Link" xfId="161" builtinId="9" hidden="1"/>
    <cellStyle name="Besuchter Link" xfId="163" builtinId="9" hidden="1"/>
    <cellStyle name="Besuchter Link" xfId="165" builtinId="9" hidden="1"/>
    <cellStyle name="Besuchter Link" xfId="167" builtinId="9" hidden="1"/>
    <cellStyle name="Besuchter Link" xfId="169" builtinId="9" hidden="1"/>
    <cellStyle name="Besuchter Link" xfId="171" builtinId="9" hidden="1"/>
    <cellStyle name="Besuchter Link" xfId="173" builtinId="9" hidden="1"/>
    <cellStyle name="Besuchter Link" xfId="175" builtinId="9" hidden="1"/>
    <cellStyle name="Besuchter Link" xfId="177" builtinId="9" hidden="1"/>
    <cellStyle name="Besuchter Link" xfId="179" builtinId="9" hidden="1"/>
    <cellStyle name="Besuchter Link" xfId="181" builtinId="9" hidden="1"/>
    <cellStyle name="Besuchter Link" xfId="183" builtinId="9" hidden="1"/>
    <cellStyle name="Besuchter Link" xfId="185" builtinId="9" hidden="1"/>
    <cellStyle name="Besuchter Link" xfId="187" builtinId="9" hidden="1"/>
    <cellStyle name="Besuchter Link" xfId="189" builtinId="9" hidden="1"/>
    <cellStyle name="Besuchter Link" xfId="191" builtinId="9" hidden="1"/>
    <cellStyle name="Besuchter Link" xfId="193" builtinId="9" hidden="1"/>
    <cellStyle name="Besuchter Link" xfId="195" builtinId="9" hidden="1"/>
    <cellStyle name="Besuchter Link" xfId="197" builtinId="9" hidden="1"/>
    <cellStyle name="Besuchter Link" xfId="199" builtinId="9" hidden="1"/>
    <cellStyle name="Besuchter Link" xfId="201" builtinId="9" hidden="1"/>
    <cellStyle name="Besuchter Link" xfId="203" builtinId="9" hidden="1"/>
    <cellStyle name="Besuchter Link" xfId="205" builtinId="9" hidden="1"/>
    <cellStyle name="Besuchter Link" xfId="207" builtinId="9" hidden="1"/>
    <cellStyle name="Besuchter Link" xfId="209" builtinId="9" hidden="1"/>
    <cellStyle name="Besuchter Link" xfId="211" builtinId="9" hidden="1"/>
    <cellStyle name="Besuchter Link" xfId="213" builtinId="9" hidden="1"/>
    <cellStyle name="Besuchter Link" xfId="215" builtinId="9" hidden="1"/>
    <cellStyle name="Besuchter Link" xfId="217" builtinId="9" hidden="1"/>
    <cellStyle name="Besuchter Link" xfId="219" builtinId="9" hidden="1"/>
    <cellStyle name="Besuchter Link" xfId="221" builtinId="9" hidden="1"/>
    <cellStyle name="Besuchter Link" xfId="223" builtinId="9" hidden="1"/>
    <cellStyle name="Besuchter Link" xfId="225" builtinId="9" hidden="1"/>
    <cellStyle name="Besuchter Link" xfId="227" builtinId="9" hidden="1"/>
    <cellStyle name="Besuchter Link" xfId="229" builtinId="9" hidden="1"/>
    <cellStyle name="Besuchter Link" xfId="231" builtinId="9" hidden="1"/>
    <cellStyle name="Besuchter Link" xfId="233" builtinId="9" hidden="1"/>
    <cellStyle name="Besuchter Link" xfId="235" builtinId="9" hidden="1"/>
    <cellStyle name="Besuchter Link" xfId="237" builtinId="9" hidden="1"/>
    <cellStyle name="Besuchter Link" xfId="239" builtinId="9" hidden="1"/>
    <cellStyle name="Besuchter Link" xfId="241" builtinId="9" hidden="1"/>
    <cellStyle name="Besuchter Link" xfId="243" builtinId="9" hidden="1"/>
    <cellStyle name="Besuchter Link" xfId="245" builtinId="9" hidden="1"/>
    <cellStyle name="Besuchter Link" xfId="247" builtinId="9" hidden="1"/>
    <cellStyle name="Besuchter Link" xfId="249" builtinId="9" hidden="1"/>
    <cellStyle name="Besuchter Link" xfId="251" builtinId="9" hidden="1"/>
    <cellStyle name="Besuchter Link" xfId="253" builtinId="9" hidden="1"/>
    <cellStyle name="Besuchter Link" xfId="255" builtinId="9" hidden="1"/>
    <cellStyle name="Besuchter Link" xfId="257" builtinId="9" hidden="1"/>
    <cellStyle name="Besuchter Link" xfId="259" builtinId="9" hidden="1"/>
    <cellStyle name="Besuchter Link" xfId="261" builtinId="9" hidden="1"/>
    <cellStyle name="Besuchter Link" xfId="263" builtinId="9" hidden="1"/>
    <cellStyle name="Besuchter Link" xfId="265" builtinId="9" hidden="1"/>
    <cellStyle name="Besuchter Link" xfId="267" builtinId="9" hidden="1"/>
    <cellStyle name="Besuchter Link" xfId="269" builtinId="9" hidden="1"/>
    <cellStyle name="Besuchter Link" xfId="271" builtinId="9" hidden="1"/>
    <cellStyle name="Besuchter Link" xfId="273" builtinId="9" hidden="1"/>
    <cellStyle name="Besuchter Link" xfId="275" builtinId="9" hidden="1"/>
    <cellStyle name="Besuchter Link" xfId="277" builtinId="9" hidden="1"/>
    <cellStyle name="Besuchter Link" xfId="279" builtinId="9" hidden="1"/>
    <cellStyle name="Besuchter Link" xfId="281" builtinId="9" hidden="1"/>
    <cellStyle name="Besuchter Link" xfId="283" builtinId="9" hidden="1"/>
    <cellStyle name="Besuchter Link" xfId="285" builtinId="9" hidden="1"/>
    <cellStyle name="Besuchter Link" xfId="287" builtinId="9" hidden="1"/>
    <cellStyle name="Besuchter Link" xfId="289" builtinId="9" hidden="1"/>
    <cellStyle name="Link" xfId="2" builtinId="8" hidden="1"/>
    <cellStyle name="Link" xfId="4" builtinId="8" hidden="1"/>
    <cellStyle name="Link" xfId="6" builtinId="8" hidden="1"/>
    <cellStyle name="Link" xfId="8" builtinId="8" hidden="1"/>
    <cellStyle name="Link" xfId="10" builtinId="8" hidden="1"/>
    <cellStyle name="Link" xfId="12" builtinId="8" hidden="1"/>
    <cellStyle name="Link" xfId="14" builtinId="8" hidden="1"/>
    <cellStyle name="Link" xfId="16" builtinId="8" hidden="1"/>
    <cellStyle name="Link" xfId="18" builtinId="8" hidden="1"/>
    <cellStyle name="Link" xfId="20" builtinId="8" hidden="1"/>
    <cellStyle name="Link" xfId="22" builtinId="8" hidden="1"/>
    <cellStyle name="Link" xfId="24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6" builtinId="8" hidden="1"/>
    <cellStyle name="Link" xfId="148" builtinId="8" hidden="1"/>
    <cellStyle name="Link" xfId="150" builtinId="8" hidden="1"/>
    <cellStyle name="Link" xfId="152" builtinId="8" hidden="1"/>
    <cellStyle name="Link" xfId="154" builtinId="8" hidden="1"/>
    <cellStyle name="Link" xfId="156" builtinId="8" hidden="1"/>
    <cellStyle name="Link" xfId="158" builtinId="8" hidden="1"/>
    <cellStyle name="Link" xfId="160" builtinId="8" hidden="1"/>
    <cellStyle name="Link" xfId="162" builtinId="8" hidden="1"/>
    <cellStyle name="Link" xfId="164" builtinId="8" hidden="1"/>
    <cellStyle name="Link" xfId="166" builtinId="8" hidden="1"/>
    <cellStyle name="Link" xfId="168" builtinId="8" hidden="1"/>
    <cellStyle name="Link" xfId="170" builtinId="8" hidden="1"/>
    <cellStyle name="Link" xfId="172" builtinId="8" hidden="1"/>
    <cellStyle name="Link" xfId="174" builtinId="8" hidden="1"/>
    <cellStyle name="Link" xfId="176" builtinId="8" hidden="1"/>
    <cellStyle name="Link" xfId="178" builtinId="8" hidden="1"/>
    <cellStyle name="Link" xfId="180" builtinId="8" hidden="1"/>
    <cellStyle name="Link" xfId="182" builtinId="8" hidden="1"/>
    <cellStyle name="Link" xfId="184" builtinId="8" hidden="1"/>
    <cellStyle name="Link" xfId="186" builtinId="8" hidden="1"/>
    <cellStyle name="Link" xfId="188" builtinId="8" hidden="1"/>
    <cellStyle name="Link" xfId="190" builtinId="8" hidden="1"/>
    <cellStyle name="Link" xfId="192" builtinId="8" hidden="1"/>
    <cellStyle name="Link" xfId="194" builtinId="8" hidden="1"/>
    <cellStyle name="Link" xfId="196" builtinId="8" hidden="1"/>
    <cellStyle name="Link" xfId="198" builtinId="8" hidden="1"/>
    <cellStyle name="Link" xfId="200" builtinId="8" hidden="1"/>
    <cellStyle name="Link" xfId="202" builtinId="8" hidden="1"/>
    <cellStyle name="Link" xfId="204" builtinId="8" hidden="1"/>
    <cellStyle name="Link" xfId="206" builtinId="8" hidden="1"/>
    <cellStyle name="Link" xfId="208" builtinId="8" hidden="1"/>
    <cellStyle name="Link" xfId="210" builtinId="8" hidden="1"/>
    <cellStyle name="Link" xfId="212" builtinId="8" hidden="1"/>
    <cellStyle name="Link" xfId="214" builtinId="8" hidden="1"/>
    <cellStyle name="Link" xfId="216" builtinId="8" hidden="1"/>
    <cellStyle name="Link" xfId="218" builtinId="8" hidden="1"/>
    <cellStyle name="Link" xfId="220" builtinId="8" hidden="1"/>
    <cellStyle name="Link" xfId="222" builtinId="8" hidden="1"/>
    <cellStyle name="Link" xfId="224" builtinId="8" hidden="1"/>
    <cellStyle name="Link" xfId="226" builtinId="8" hidden="1"/>
    <cellStyle name="Link" xfId="228" builtinId="8" hidden="1"/>
    <cellStyle name="Link" xfId="230" builtinId="8" hidden="1"/>
    <cellStyle name="Link" xfId="232" builtinId="8" hidden="1"/>
    <cellStyle name="Link" xfId="234" builtinId="8" hidden="1"/>
    <cellStyle name="Link" xfId="236" builtinId="8" hidden="1"/>
    <cellStyle name="Link" xfId="238" builtinId="8" hidden="1"/>
    <cellStyle name="Link" xfId="240" builtinId="8" hidden="1"/>
    <cellStyle name="Link" xfId="242" builtinId="8" hidden="1"/>
    <cellStyle name="Link" xfId="244" builtinId="8" hidden="1"/>
    <cellStyle name="Link" xfId="246" builtinId="8" hidden="1"/>
    <cellStyle name="Link" xfId="248" builtinId="8" hidden="1"/>
    <cellStyle name="Link" xfId="250" builtinId="8" hidden="1"/>
    <cellStyle name="Link" xfId="252" builtinId="8" hidden="1"/>
    <cellStyle name="Link" xfId="254" builtinId="8" hidden="1"/>
    <cellStyle name="Link" xfId="256" builtinId="8" hidden="1"/>
    <cellStyle name="Link" xfId="258" builtinId="8" hidden="1"/>
    <cellStyle name="Link" xfId="260" builtinId="8" hidden="1"/>
    <cellStyle name="Link" xfId="262" builtinId="8" hidden="1"/>
    <cellStyle name="Link" xfId="264" builtinId="8" hidden="1"/>
    <cellStyle name="Link" xfId="266" builtinId="8" hidden="1"/>
    <cellStyle name="Link" xfId="268" builtinId="8" hidden="1"/>
    <cellStyle name="Link" xfId="270" builtinId="8" hidden="1"/>
    <cellStyle name="Link" xfId="272" builtinId="8" hidden="1"/>
    <cellStyle name="Link" xfId="274" builtinId="8" hidden="1"/>
    <cellStyle name="Link" xfId="276" builtinId="8" hidden="1"/>
    <cellStyle name="Link" xfId="278" builtinId="8" hidden="1"/>
    <cellStyle name="Link" xfId="280" builtinId="8" hidden="1"/>
    <cellStyle name="Link" xfId="282" builtinId="8" hidden="1"/>
    <cellStyle name="Link" xfId="284" builtinId="8" hidden="1"/>
    <cellStyle name="Link" xfId="286" builtinId="8" hidden="1"/>
    <cellStyle name="Link" xfId="288" builtinId="8" hidden="1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9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7" sqref="B27"/>
    </sheetView>
  </sheetViews>
  <sheetFormatPr baseColWidth="10" defaultRowHeight="15" x14ac:dyDescent="0"/>
  <cols>
    <col min="1" max="1" width="19" style="1" bestFit="1" customWidth="1"/>
    <col min="2" max="2" width="32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1.332031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18.33203125" style="1" bestFit="1" customWidth="1"/>
    <col min="11" max="11" width="11.1640625" style="2" customWidth="1"/>
    <col min="12" max="12" width="7" style="21" bestFit="1" customWidth="1"/>
    <col min="13" max="13" width="7.16406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25" t="s">
        <v>77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>
      <c r="A2" s="5" t="s">
        <v>4</v>
      </c>
      <c r="B2" s="5" t="s">
        <v>5</v>
      </c>
      <c r="C2" s="5" t="s">
        <v>6</v>
      </c>
      <c r="D2" s="5" t="s">
        <v>58</v>
      </c>
      <c r="E2" s="5" t="s">
        <v>7</v>
      </c>
      <c r="F2" s="5" t="s">
        <v>7</v>
      </c>
      <c r="G2" s="5" t="s">
        <v>14</v>
      </c>
      <c r="H2" s="6">
        <f t="shared" ref="H2:H11" si="0">L2*M2</f>
        <v>999.02</v>
      </c>
      <c r="I2" s="7"/>
      <c r="J2" s="5" t="s">
        <v>52</v>
      </c>
      <c r="K2" s="6">
        <v>45.405000000000001</v>
      </c>
      <c r="L2" s="18">
        <v>22</v>
      </c>
      <c r="M2" s="6">
        <v>45.41</v>
      </c>
      <c r="N2" s="6">
        <v>44.6</v>
      </c>
      <c r="O2" s="6">
        <f>N2</f>
        <v>44.6</v>
      </c>
      <c r="P2" s="6">
        <f t="shared" ref="P2:P11" si="1">L2*O2</f>
        <v>981.2</v>
      </c>
      <c r="Q2" s="7"/>
      <c r="R2" s="7">
        <f t="shared" ref="R2:R12" si="2">(P2-H2)/H2</f>
        <v>-1.7837480731116431E-2</v>
      </c>
      <c r="S2" s="7"/>
      <c r="T2" s="7">
        <v>2.2181324642353589E-2</v>
      </c>
    </row>
    <row r="3" spans="1:20">
      <c r="A3" s="5" t="s">
        <v>4</v>
      </c>
      <c r="B3" s="5" t="s">
        <v>8</v>
      </c>
      <c r="C3" s="5" t="s">
        <v>9</v>
      </c>
      <c r="D3" s="5" t="s">
        <v>59</v>
      </c>
      <c r="E3" s="5" t="s">
        <v>10</v>
      </c>
      <c r="F3" s="5" t="s">
        <v>15</v>
      </c>
      <c r="G3" s="5" t="s">
        <v>16</v>
      </c>
      <c r="H3" s="6">
        <f t="shared" si="0"/>
        <v>985.6</v>
      </c>
      <c r="I3" s="7">
        <f>(H2+H3)/H12</f>
        <v>0.19926243721027365</v>
      </c>
      <c r="J3" s="5" t="s">
        <v>60</v>
      </c>
      <c r="K3" s="6">
        <v>61.6</v>
      </c>
      <c r="L3" s="18">
        <v>16</v>
      </c>
      <c r="M3" s="6">
        <v>61.6</v>
      </c>
      <c r="N3" s="6">
        <v>85.74</v>
      </c>
      <c r="O3" s="6">
        <f>N3</f>
        <v>85.74</v>
      </c>
      <c r="P3" s="6">
        <f t="shared" si="1"/>
        <v>1371.84</v>
      </c>
      <c r="Q3" s="7">
        <f>(P2+P3)/P12</f>
        <v>0.18074537837954638</v>
      </c>
      <c r="R3" s="7">
        <f t="shared" si="2"/>
        <v>0.39188311688311678</v>
      </c>
      <c r="S3" s="7"/>
      <c r="T3" s="7">
        <v>1.0421491431218156E-2</v>
      </c>
    </row>
    <row r="4" spans="1:20">
      <c r="A4" s="5" t="s">
        <v>26</v>
      </c>
      <c r="B4" s="5" t="s">
        <v>27</v>
      </c>
      <c r="C4" s="5" t="s">
        <v>28</v>
      </c>
      <c r="D4" s="5" t="s">
        <v>61</v>
      </c>
      <c r="E4" s="5" t="s">
        <v>29</v>
      </c>
      <c r="F4" s="5" t="s">
        <v>30</v>
      </c>
      <c r="G4" s="5" t="s">
        <v>31</v>
      </c>
      <c r="H4" s="6">
        <f t="shared" si="0"/>
        <v>1019.43</v>
      </c>
      <c r="I4" s="7"/>
      <c r="J4" s="5" t="s">
        <v>53</v>
      </c>
      <c r="K4" s="6">
        <v>113.27</v>
      </c>
      <c r="L4" s="18">
        <v>9</v>
      </c>
      <c r="M4" s="6">
        <f>K4</f>
        <v>113.27</v>
      </c>
      <c r="N4" s="6">
        <v>148.1</v>
      </c>
      <c r="O4" s="6">
        <f>N4</f>
        <v>148.1</v>
      </c>
      <c r="P4" s="6">
        <f t="shared" si="1"/>
        <v>1332.8999999999999</v>
      </c>
      <c r="Q4" s="7"/>
      <c r="R4" s="7">
        <f t="shared" si="2"/>
        <v>0.30749536505694353</v>
      </c>
      <c r="S4" s="7"/>
      <c r="T4" s="7">
        <v>8.6801830893658682E-3</v>
      </c>
    </row>
    <row r="5" spans="1:20">
      <c r="A5" s="5" t="s">
        <v>26</v>
      </c>
      <c r="B5" s="5" t="s">
        <v>32</v>
      </c>
      <c r="C5" s="5" t="s">
        <v>33</v>
      </c>
      <c r="D5" s="5" t="s">
        <v>57</v>
      </c>
      <c r="E5" s="5" t="s">
        <v>10</v>
      </c>
      <c r="F5" s="5" t="s">
        <v>34</v>
      </c>
      <c r="G5" s="5" t="s">
        <v>35</v>
      </c>
      <c r="H5" s="6">
        <f t="shared" si="0"/>
        <v>993.6</v>
      </c>
      <c r="I5" s="7">
        <f>(H4+H5)/H12</f>
        <v>0.20211489553536557</v>
      </c>
      <c r="J5" s="5" t="s">
        <v>54</v>
      </c>
      <c r="K5" s="6">
        <v>23.08</v>
      </c>
      <c r="L5" s="18">
        <v>40</v>
      </c>
      <c r="M5" s="6">
        <v>24.84</v>
      </c>
      <c r="N5" s="6">
        <v>20.9</v>
      </c>
      <c r="O5" s="6">
        <f>N5*B19</f>
        <v>24.225189999999998</v>
      </c>
      <c r="P5" s="6">
        <f t="shared" si="1"/>
        <v>969.00759999999991</v>
      </c>
      <c r="Q5" s="7">
        <f>(P4+P5)/P12</f>
        <v>0.17681771672251786</v>
      </c>
      <c r="R5" s="7">
        <f t="shared" si="2"/>
        <v>-2.4750805152979179E-2</v>
      </c>
      <c r="S5" s="7"/>
      <c r="T5" s="7">
        <v>2.5000000000000001E-2</v>
      </c>
    </row>
    <row r="6" spans="1:20">
      <c r="A6" s="5" t="s">
        <v>38</v>
      </c>
      <c r="B6" s="5" t="s">
        <v>39</v>
      </c>
      <c r="C6" s="5" t="s">
        <v>40</v>
      </c>
      <c r="D6" s="5" t="s">
        <v>62</v>
      </c>
      <c r="E6" s="5" t="s">
        <v>20</v>
      </c>
      <c r="F6" s="5" t="s">
        <v>41</v>
      </c>
      <c r="G6" s="5" t="s">
        <v>42</v>
      </c>
      <c r="H6" s="6">
        <f t="shared" si="0"/>
        <v>1006.08</v>
      </c>
      <c r="I6" s="7"/>
      <c r="J6" s="5" t="s">
        <v>54</v>
      </c>
      <c r="K6" s="6">
        <v>63.04</v>
      </c>
      <c r="L6" s="18">
        <v>24</v>
      </c>
      <c r="M6" s="6">
        <v>41.92</v>
      </c>
      <c r="N6" s="6">
        <v>106.18</v>
      </c>
      <c r="O6" s="6">
        <f>N6*B21</f>
        <v>72.860716000000011</v>
      </c>
      <c r="P6" s="6">
        <f t="shared" si="1"/>
        <v>1748.6571840000001</v>
      </c>
      <c r="Q6" s="7"/>
      <c r="R6" s="7">
        <f t="shared" si="2"/>
        <v>0.7380895992366413</v>
      </c>
      <c r="S6" s="7"/>
      <c r="T6" s="7">
        <v>0</v>
      </c>
    </row>
    <row r="7" spans="1:20">
      <c r="A7" s="5" t="s">
        <v>38</v>
      </c>
      <c r="B7" s="5" t="s">
        <v>43</v>
      </c>
      <c r="C7" s="5" t="s">
        <v>44</v>
      </c>
      <c r="D7" s="5" t="s">
        <v>63</v>
      </c>
      <c r="E7" s="5" t="s">
        <v>29</v>
      </c>
      <c r="F7" s="5" t="s">
        <v>45</v>
      </c>
      <c r="G7" s="5" t="s">
        <v>22</v>
      </c>
      <c r="H7" s="6">
        <f t="shared" si="0"/>
        <v>992.32</v>
      </c>
      <c r="I7" s="7">
        <f>(H6+H7)/H12</f>
        <v>0.20064599496176141</v>
      </c>
      <c r="J7" s="5" t="s">
        <v>64</v>
      </c>
      <c r="K7" s="6">
        <v>36.92</v>
      </c>
      <c r="L7" s="18">
        <v>32</v>
      </c>
      <c r="M7" s="6">
        <v>31.01</v>
      </c>
      <c r="N7" s="6">
        <v>52.83</v>
      </c>
      <c r="O7" s="6">
        <f>N7*B18</f>
        <v>47.943224999999998</v>
      </c>
      <c r="P7" s="6">
        <f t="shared" si="1"/>
        <v>1534.1831999999999</v>
      </c>
      <c r="Q7" s="7">
        <f>(P6+P7)/P12</f>
        <v>0.25216665563090102</v>
      </c>
      <c r="R7" s="7">
        <f t="shared" si="2"/>
        <v>0.54605691712350846</v>
      </c>
      <c r="S7" s="7"/>
      <c r="T7" s="7">
        <v>3.1183420491962037E-2</v>
      </c>
    </row>
    <row r="8" spans="1:20">
      <c r="A8" s="5" t="s">
        <v>17</v>
      </c>
      <c r="B8" s="5" t="s">
        <v>18</v>
      </c>
      <c r="C8" s="5" t="s">
        <v>19</v>
      </c>
      <c r="D8" s="5" t="s">
        <v>65</v>
      </c>
      <c r="E8" s="5" t="s">
        <v>20</v>
      </c>
      <c r="F8" s="5" t="s">
        <v>21</v>
      </c>
      <c r="G8" s="5" t="s">
        <v>22</v>
      </c>
      <c r="H8" s="6">
        <f t="shared" si="0"/>
        <v>989.01</v>
      </c>
      <c r="I8" s="7"/>
      <c r="J8" s="5" t="s">
        <v>66</v>
      </c>
      <c r="K8" s="6">
        <v>130.87</v>
      </c>
      <c r="L8" s="18">
        <v>9</v>
      </c>
      <c r="M8" s="6">
        <v>109.89</v>
      </c>
      <c r="N8" s="6">
        <v>190.39</v>
      </c>
      <c r="O8" s="6">
        <f>N8*B18</f>
        <v>172.77892499999999</v>
      </c>
      <c r="P8" s="6">
        <f t="shared" si="1"/>
        <v>1555.010325</v>
      </c>
      <c r="Q8" s="7"/>
      <c r="R8" s="7">
        <f t="shared" si="2"/>
        <v>0.57228978978978973</v>
      </c>
      <c r="S8" s="7"/>
      <c r="T8" s="7">
        <v>9.5798406830842932E-3</v>
      </c>
    </row>
    <row r="9" spans="1:20">
      <c r="A9" s="5" t="s">
        <v>17</v>
      </c>
      <c r="B9" s="5" t="s">
        <v>23</v>
      </c>
      <c r="C9" s="5" t="s">
        <v>24</v>
      </c>
      <c r="D9" s="5" t="s">
        <v>67</v>
      </c>
      <c r="E9" s="5" t="s">
        <v>20</v>
      </c>
      <c r="F9" s="5" t="s">
        <v>21</v>
      </c>
      <c r="G9" s="5" t="s">
        <v>22</v>
      </c>
      <c r="H9" s="6">
        <f t="shared" si="0"/>
        <v>1016.3699999999999</v>
      </c>
      <c r="I9" s="7">
        <f>(H8+H9)/H12</f>
        <v>0.20134681013631758</v>
      </c>
      <c r="J9" s="5" t="s">
        <v>53</v>
      </c>
      <c r="K9" s="6">
        <v>52.73</v>
      </c>
      <c r="L9" s="18">
        <v>23</v>
      </c>
      <c r="M9" s="6">
        <v>44.19</v>
      </c>
      <c r="N9" s="6">
        <v>89.81</v>
      </c>
      <c r="O9" s="6">
        <f>N9*B18</f>
        <v>81.502574999999993</v>
      </c>
      <c r="P9" s="6">
        <f t="shared" si="1"/>
        <v>1874.5592249999997</v>
      </c>
      <c r="Q9" s="7">
        <f>(P8+P9)/P12</f>
        <v>0.26343744517463391</v>
      </c>
      <c r="R9" s="7">
        <f t="shared" si="2"/>
        <v>0.84436693822131703</v>
      </c>
      <c r="S9" s="7"/>
      <c r="T9" s="7">
        <v>1.0050251256281407E-2</v>
      </c>
    </row>
    <row r="10" spans="1:20">
      <c r="A10" s="5" t="s">
        <v>25</v>
      </c>
      <c r="B10" s="5" t="s">
        <v>36</v>
      </c>
      <c r="C10" s="5" t="s">
        <v>37</v>
      </c>
      <c r="D10" s="5" t="s">
        <v>68</v>
      </c>
      <c r="E10" s="5" t="s">
        <v>20</v>
      </c>
      <c r="F10" s="5" t="s">
        <v>21</v>
      </c>
      <c r="G10" s="5" t="s">
        <v>22</v>
      </c>
      <c r="H10" s="6">
        <f t="shared" si="0"/>
        <v>966.06000000000006</v>
      </c>
      <c r="I10" s="7">
        <f>H10/H12</f>
        <v>9.6995631451540845E-2</v>
      </c>
      <c r="J10" s="5" t="s">
        <v>53</v>
      </c>
      <c r="K10" s="6">
        <v>63.94</v>
      </c>
      <c r="L10" s="18">
        <v>18</v>
      </c>
      <c r="M10" s="6">
        <v>53.67</v>
      </c>
      <c r="N10" s="6">
        <v>46.41</v>
      </c>
      <c r="O10" s="6">
        <f>N10*B18</f>
        <v>42.117074999999993</v>
      </c>
      <c r="P10" s="6">
        <f t="shared" si="1"/>
        <v>758.10734999999988</v>
      </c>
      <c r="Q10" s="7">
        <f>P10/P12</f>
        <v>5.823292414411365E-2</v>
      </c>
      <c r="R10" s="7">
        <f t="shared" si="2"/>
        <v>-0.2152585243152601</v>
      </c>
      <c r="S10" s="7"/>
      <c r="T10" s="7">
        <v>7.3230631837463714E-2</v>
      </c>
    </row>
    <row r="11" spans="1:20">
      <c r="A11" s="5" t="s">
        <v>46</v>
      </c>
      <c r="B11" s="5" t="s">
        <v>47</v>
      </c>
      <c r="C11" s="5" t="s">
        <v>48</v>
      </c>
      <c r="D11" s="5" t="s">
        <v>69</v>
      </c>
      <c r="E11" s="5" t="s">
        <v>10</v>
      </c>
      <c r="F11" s="5" t="s">
        <v>49</v>
      </c>
      <c r="G11" s="5" t="s">
        <v>50</v>
      </c>
      <c r="H11" s="6">
        <f t="shared" si="0"/>
        <v>992.34</v>
      </c>
      <c r="I11" s="7">
        <f>H11/H12</f>
        <v>9.963423070474095E-2</v>
      </c>
      <c r="J11" s="5" t="s">
        <v>53</v>
      </c>
      <c r="K11" s="6">
        <v>256.14999999999998</v>
      </c>
      <c r="L11" s="18">
        <v>37</v>
      </c>
      <c r="M11" s="6">
        <v>26.82</v>
      </c>
      <c r="N11" s="6">
        <v>258.14999999999998</v>
      </c>
      <c r="O11" s="6">
        <f>N11*B22</f>
        <v>24.137024999999998</v>
      </c>
      <c r="P11" s="6">
        <f t="shared" si="1"/>
        <v>893.0699249999999</v>
      </c>
      <c r="Q11" s="7">
        <f>P11/P12</f>
        <v>6.8599879948287354E-2</v>
      </c>
      <c r="R11" s="7">
        <f t="shared" si="2"/>
        <v>-0.10003635346756165</v>
      </c>
      <c r="S11" s="7"/>
      <c r="T11" s="7">
        <v>3.6440352896049098E-2</v>
      </c>
    </row>
    <row r="12" spans="1:20" s="4" customFormat="1">
      <c r="A12" s="10"/>
      <c r="B12" s="10"/>
      <c r="C12" s="10"/>
      <c r="D12" s="10"/>
      <c r="E12" s="10"/>
      <c r="F12" s="10"/>
      <c r="G12" s="10"/>
      <c r="H12" s="11">
        <f>SUM(H2:H11)</f>
        <v>9959.83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13018.534808999997</v>
      </c>
      <c r="Q12" s="12"/>
      <c r="R12" s="12">
        <f t="shared" si="2"/>
        <v>0.30710411814257843</v>
      </c>
      <c r="S12" s="12">
        <v>0.13139999999999999</v>
      </c>
      <c r="T12" s="12">
        <f>AVERAGE(T2:T11)</f>
        <v>2.2676749632777819E-2</v>
      </c>
    </row>
    <row r="13" spans="1:20">
      <c r="S13" s="60"/>
    </row>
    <row r="14" spans="1:20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27" t="s">
        <v>76</v>
      </c>
      <c r="K14" s="15">
        <v>1947.53</v>
      </c>
      <c r="L14" s="20"/>
      <c r="M14" s="15"/>
      <c r="N14" s="15">
        <v>2268.8200000000002</v>
      </c>
      <c r="O14" s="15"/>
      <c r="P14" s="15"/>
      <c r="Q14" s="16"/>
      <c r="R14" s="16">
        <f>(N14-K14)/K14</f>
        <v>0.16497306845080703</v>
      </c>
      <c r="S14" s="16">
        <v>7.2900000000000006E-2</v>
      </c>
    </row>
    <row r="17" spans="1:3">
      <c r="A17" s="35" t="s">
        <v>116</v>
      </c>
      <c r="B17" s="48" t="s">
        <v>149</v>
      </c>
    </row>
    <row r="18" spans="1:3">
      <c r="A18" s="35" t="s">
        <v>22</v>
      </c>
      <c r="B18" s="35">
        <v>0.90749999999999997</v>
      </c>
    </row>
    <row r="19" spans="1:3">
      <c r="A19" s="35" t="s">
        <v>118</v>
      </c>
      <c r="B19" s="1">
        <v>1.1591</v>
      </c>
    </row>
    <row r="20" spans="1:3">
      <c r="A20" s="35" t="s">
        <v>31</v>
      </c>
      <c r="B20" s="35">
        <v>8.3000000000000001E-3</v>
      </c>
    </row>
    <row r="21" spans="1:3">
      <c r="A21" s="35" t="s">
        <v>42</v>
      </c>
      <c r="B21" s="1">
        <v>0.68620000000000003</v>
      </c>
    </row>
    <row r="22" spans="1:3">
      <c r="A22" s="35" t="s">
        <v>50</v>
      </c>
      <c r="B22" s="35">
        <v>9.35E-2</v>
      </c>
    </row>
    <row r="25" spans="1:3">
      <c r="A25" s="48" t="s">
        <v>123</v>
      </c>
      <c r="B25" s="49">
        <v>43779</v>
      </c>
      <c r="C25" s="54" t="s">
        <v>232</v>
      </c>
    </row>
    <row r="26" spans="1:3">
      <c r="A26" s="48" t="s">
        <v>124</v>
      </c>
      <c r="B26" s="2">
        <v>2.17</v>
      </c>
    </row>
    <row r="29" spans="1:3">
      <c r="A29" s="48"/>
    </row>
  </sheetData>
  <phoneticPr fontId="19" type="noConversion"/>
  <pageMargins left="0.5" right="0.5" top="0.79000000000000015" bottom="0.79000000000000015" header="0.30000000000000004" footer="0.30000000000000004"/>
  <pageSetup paperSize="9" scale="67" orientation="landscape"/>
  <headerFooter>
    <oddHeader>&amp;C&amp;"Calibri,Standard"&amp;K000000Musterdepot per 30.08.2017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3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T16" sqref="T16"/>
    </sheetView>
  </sheetViews>
  <sheetFormatPr baseColWidth="10" defaultRowHeight="15" x14ac:dyDescent="0"/>
  <cols>
    <col min="1" max="1" width="19" style="35" bestFit="1" customWidth="1"/>
    <col min="2" max="2" width="37.5" style="35" customWidth="1"/>
    <col min="3" max="3" width="19.83203125" style="35" bestFit="1" customWidth="1"/>
    <col min="4" max="4" width="12.33203125" style="35" bestFit="1" customWidth="1"/>
    <col min="5" max="5" width="9.5" style="35" bestFit="1" customWidth="1"/>
    <col min="6" max="6" width="11.33203125" style="35" bestFit="1" customWidth="1"/>
    <col min="7" max="7" width="8.83203125" style="35" bestFit="1" customWidth="1"/>
    <col min="8" max="8" width="10.33203125" style="44" customWidth="1"/>
    <col min="9" max="9" width="9.83203125" style="45" bestFit="1" customWidth="1"/>
    <col min="10" max="10" width="18.33203125" style="35" bestFit="1" customWidth="1"/>
    <col min="11" max="11" width="11.1640625" style="44" customWidth="1"/>
    <col min="12" max="12" width="7" style="46" bestFit="1" customWidth="1"/>
    <col min="13" max="13" width="8.33203125" style="44" bestFit="1" customWidth="1"/>
    <col min="14" max="16" width="10.5" style="44" customWidth="1"/>
    <col min="17" max="17" width="10.5" style="45" customWidth="1"/>
    <col min="18" max="18" width="6" style="44" bestFit="1" customWidth="1"/>
    <col min="19" max="19" width="11.83203125" style="45" customWidth="1"/>
    <col min="20" max="20" width="12.6640625" style="45" customWidth="1"/>
    <col min="21" max="21" width="12" style="3" customWidth="1"/>
    <col min="22" max="16384" width="10.83203125" style="35"/>
  </cols>
  <sheetData>
    <row r="1" spans="1:21" ht="45">
      <c r="A1" s="29" t="s">
        <v>0</v>
      </c>
      <c r="B1" s="29" t="s">
        <v>2</v>
      </c>
      <c r="C1" s="29" t="s">
        <v>1</v>
      </c>
      <c r="D1" s="29" t="s">
        <v>56</v>
      </c>
      <c r="E1" s="29" t="s">
        <v>11</v>
      </c>
      <c r="F1" s="29" t="s">
        <v>12</v>
      </c>
      <c r="G1" s="29" t="s">
        <v>13</v>
      </c>
      <c r="H1" s="30" t="s">
        <v>78</v>
      </c>
      <c r="I1" s="31" t="s">
        <v>3</v>
      </c>
      <c r="J1" s="29" t="s">
        <v>51</v>
      </c>
      <c r="K1" s="30" t="s">
        <v>71</v>
      </c>
      <c r="L1" s="32" t="s">
        <v>73</v>
      </c>
      <c r="M1" s="33" t="s">
        <v>55</v>
      </c>
      <c r="N1" s="47" t="s">
        <v>120</v>
      </c>
      <c r="O1" s="47" t="s">
        <v>121</v>
      </c>
      <c r="P1" s="47" t="s">
        <v>122</v>
      </c>
      <c r="Q1" s="31" t="s">
        <v>3</v>
      </c>
      <c r="R1" s="29" t="s">
        <v>51</v>
      </c>
      <c r="S1" s="34" t="s">
        <v>70</v>
      </c>
      <c r="T1" s="34" t="s">
        <v>74</v>
      </c>
      <c r="U1" s="68" t="s">
        <v>231</v>
      </c>
    </row>
    <row r="2" spans="1:21">
      <c r="A2" s="29" t="s">
        <v>4</v>
      </c>
      <c r="B2" s="29" t="s">
        <v>79</v>
      </c>
      <c r="C2" s="29" t="s">
        <v>80</v>
      </c>
      <c r="D2" s="29" t="s">
        <v>81</v>
      </c>
      <c r="E2" s="29" t="s">
        <v>10</v>
      </c>
      <c r="F2" s="29" t="s">
        <v>82</v>
      </c>
      <c r="G2" s="29" t="s">
        <v>83</v>
      </c>
      <c r="H2" s="33">
        <f t="shared" ref="H2:H11" si="0">L2*M2</f>
        <v>1011.2641000000001</v>
      </c>
      <c r="I2" s="31"/>
      <c r="J2" s="29" t="s">
        <v>52</v>
      </c>
      <c r="K2" s="33">
        <v>538.25</v>
      </c>
      <c r="L2" s="36">
        <v>14</v>
      </c>
      <c r="M2" s="33">
        <f>K2*0.1342</f>
        <v>72.233150000000009</v>
      </c>
      <c r="N2" s="33">
        <v>789.1</v>
      </c>
      <c r="O2" s="33">
        <f>N2*B19</f>
        <v>105.50267000000001</v>
      </c>
      <c r="P2" s="33">
        <f t="shared" ref="P2:P11" si="1">L2*O2</f>
        <v>1477.0373800000002</v>
      </c>
      <c r="Q2" s="31"/>
      <c r="R2" s="29"/>
      <c r="S2" s="31">
        <f t="shared" ref="S2:S12" si="2">(P2-H2)/H2</f>
        <v>0.46058520222363286</v>
      </c>
      <c r="T2" s="31"/>
      <c r="U2" s="7">
        <v>2.0803919752183705E-2</v>
      </c>
    </row>
    <row r="3" spans="1:21">
      <c r="A3" s="29" t="s">
        <v>4</v>
      </c>
      <c r="B3" s="29" t="s">
        <v>79</v>
      </c>
      <c r="C3" s="37" t="s">
        <v>84</v>
      </c>
      <c r="D3" s="29" t="s">
        <v>85</v>
      </c>
      <c r="E3" s="29" t="s">
        <v>10</v>
      </c>
      <c r="F3" s="29" t="s">
        <v>15</v>
      </c>
      <c r="G3" s="29" t="s">
        <v>16</v>
      </c>
      <c r="H3" s="33">
        <f t="shared" si="0"/>
        <v>833.00199999999995</v>
      </c>
      <c r="I3" s="31">
        <f>(H2+H3)/H12</f>
        <v>0.18956946133798738</v>
      </c>
      <c r="J3" s="29" t="s">
        <v>54</v>
      </c>
      <c r="K3" s="33">
        <v>416.50099999999998</v>
      </c>
      <c r="L3" s="36">
        <v>2</v>
      </c>
      <c r="M3" s="33">
        <f>K3</f>
        <v>416.50099999999998</v>
      </c>
      <c r="N3" s="33">
        <v>300</v>
      </c>
      <c r="O3" s="33">
        <f>N3</f>
        <v>300</v>
      </c>
      <c r="P3" s="33">
        <f t="shared" si="1"/>
        <v>600</v>
      </c>
      <c r="Q3" s="31">
        <f>(P2+P3)/P12</f>
        <v>0.16364187368505154</v>
      </c>
      <c r="R3" s="33"/>
      <c r="S3" s="31">
        <f t="shared" si="2"/>
        <v>-0.27971361413297924</v>
      </c>
      <c r="T3" s="31"/>
      <c r="U3" s="7">
        <v>2.3178807947019868E-2</v>
      </c>
    </row>
    <row r="4" spans="1:21">
      <c r="A4" s="29" t="s">
        <v>26</v>
      </c>
      <c r="B4" s="29" t="s">
        <v>86</v>
      </c>
      <c r="C4" s="37" t="s">
        <v>87</v>
      </c>
      <c r="D4" s="29" t="s">
        <v>88</v>
      </c>
      <c r="E4" s="29" t="s">
        <v>10</v>
      </c>
      <c r="F4" s="29" t="s">
        <v>89</v>
      </c>
      <c r="G4" s="29" t="s">
        <v>90</v>
      </c>
      <c r="H4" s="33">
        <f t="shared" si="0"/>
        <v>1204.6383600000001</v>
      </c>
      <c r="I4" s="31"/>
      <c r="J4" s="29" t="s">
        <v>91</v>
      </c>
      <c r="K4" s="33">
        <v>460.7</v>
      </c>
      <c r="L4" s="36">
        <v>3</v>
      </c>
      <c r="M4" s="33">
        <f>K4*0.8716</f>
        <v>401.54612000000003</v>
      </c>
      <c r="N4" s="33">
        <v>512.4</v>
      </c>
      <c r="O4" s="33">
        <f>N4*B18</f>
        <v>465.87407999999999</v>
      </c>
      <c r="P4" s="33">
        <f t="shared" si="1"/>
        <v>1397.6222399999999</v>
      </c>
      <c r="Q4" s="31"/>
      <c r="R4" s="33"/>
      <c r="S4" s="31">
        <f t="shared" si="2"/>
        <v>0.16020067632579768</v>
      </c>
      <c r="T4" s="31"/>
      <c r="U4" s="7">
        <v>2.1572000061647983E-2</v>
      </c>
    </row>
    <row r="5" spans="1:21">
      <c r="A5" s="29" t="s">
        <v>26</v>
      </c>
      <c r="B5" s="38" t="s">
        <v>92</v>
      </c>
      <c r="C5" s="37" t="s">
        <v>93</v>
      </c>
      <c r="D5" s="29" t="s">
        <v>94</v>
      </c>
      <c r="E5" s="29" t="s">
        <v>29</v>
      </c>
      <c r="F5" s="29" t="s">
        <v>95</v>
      </c>
      <c r="G5" s="29" t="s">
        <v>16</v>
      </c>
      <c r="H5" s="33">
        <f t="shared" si="0"/>
        <v>972.774</v>
      </c>
      <c r="I5" s="31"/>
      <c r="J5" s="29" t="s">
        <v>66</v>
      </c>
      <c r="K5" s="33">
        <v>54.042999999999999</v>
      </c>
      <c r="L5" s="36">
        <v>18</v>
      </c>
      <c r="M5" s="33">
        <f>K5</f>
        <v>54.042999999999999</v>
      </c>
      <c r="N5" s="33">
        <v>51</v>
      </c>
      <c r="O5" s="33">
        <f>N5</f>
        <v>51</v>
      </c>
      <c r="P5" s="33">
        <f t="shared" si="1"/>
        <v>918</v>
      </c>
      <c r="Q5" s="31"/>
      <c r="R5" s="33"/>
      <c r="S5" s="31">
        <f t="shared" si="2"/>
        <v>-5.6307014784523435E-2</v>
      </c>
      <c r="T5" s="31"/>
      <c r="U5" s="7">
        <v>2.9761904761904764E-2</v>
      </c>
    </row>
    <row r="6" spans="1:21">
      <c r="A6" s="29" t="s">
        <v>26</v>
      </c>
      <c r="B6" s="38" t="s">
        <v>96</v>
      </c>
      <c r="C6" s="37" t="s">
        <v>97</v>
      </c>
      <c r="D6" s="29" t="s">
        <v>98</v>
      </c>
      <c r="E6" s="29" t="s">
        <v>20</v>
      </c>
      <c r="F6" s="29" t="s">
        <v>21</v>
      </c>
      <c r="G6" s="29" t="s">
        <v>22</v>
      </c>
      <c r="H6" s="33">
        <f t="shared" si="0"/>
        <v>893.77344000000016</v>
      </c>
      <c r="I6" s="31">
        <f>(H4+H5+H6)/H12</f>
        <v>0.3156827736381837</v>
      </c>
      <c r="J6" s="29" t="s">
        <v>66</v>
      </c>
      <c r="K6" s="33">
        <v>262.72000000000003</v>
      </c>
      <c r="L6" s="36">
        <v>4</v>
      </c>
      <c r="M6" s="33">
        <f>K6*0.8505</f>
        <v>223.44336000000004</v>
      </c>
      <c r="N6" s="33">
        <v>541.08000000000004</v>
      </c>
      <c r="O6" s="33">
        <f>N6*B17</f>
        <v>491.0301</v>
      </c>
      <c r="P6" s="33">
        <f t="shared" si="1"/>
        <v>1964.1204</v>
      </c>
      <c r="Q6" s="31">
        <f>(P4+P5+P6)/P12</f>
        <v>0.33718464156837119</v>
      </c>
      <c r="R6" s="33"/>
      <c r="S6" s="31">
        <f t="shared" si="2"/>
        <v>1.1975595963111185</v>
      </c>
      <c r="T6" s="31"/>
      <c r="U6" s="7">
        <v>2.5000000000000001E-2</v>
      </c>
    </row>
    <row r="7" spans="1:21">
      <c r="A7" s="29" t="s">
        <v>17</v>
      </c>
      <c r="B7" s="29" t="s">
        <v>99</v>
      </c>
      <c r="C7" s="37" t="s">
        <v>100</v>
      </c>
      <c r="D7" s="29" t="s">
        <v>101</v>
      </c>
      <c r="E7" s="29" t="s">
        <v>20</v>
      </c>
      <c r="F7" s="29" t="s">
        <v>21</v>
      </c>
      <c r="G7" s="29" t="s">
        <v>22</v>
      </c>
      <c r="H7" s="33">
        <f t="shared" si="0"/>
        <v>821.75310000000002</v>
      </c>
      <c r="I7" s="31"/>
      <c r="J7" s="29" t="s">
        <v>75</v>
      </c>
      <c r="K7" s="33">
        <v>966.2</v>
      </c>
      <c r="L7" s="36">
        <v>1</v>
      </c>
      <c r="M7" s="33">
        <f>K7*0.8505</f>
        <v>821.75310000000002</v>
      </c>
      <c r="N7" s="33">
        <v>1785.88</v>
      </c>
      <c r="O7" s="33">
        <f>N7*B17</f>
        <v>1620.6861000000001</v>
      </c>
      <c r="P7" s="33">
        <f t="shared" si="1"/>
        <v>1620.6861000000001</v>
      </c>
      <c r="Q7" s="31"/>
      <c r="R7" s="33"/>
      <c r="S7" s="31">
        <f t="shared" si="2"/>
        <v>0.97222998002684757</v>
      </c>
      <c r="T7" s="31"/>
      <c r="U7" s="7">
        <v>0</v>
      </c>
    </row>
    <row r="8" spans="1:21">
      <c r="A8" s="29" t="s">
        <v>17</v>
      </c>
      <c r="B8" s="29" t="s">
        <v>102</v>
      </c>
      <c r="C8" s="37" t="s">
        <v>103</v>
      </c>
      <c r="D8" s="29" t="s">
        <v>104</v>
      </c>
      <c r="E8" s="29" t="s">
        <v>20</v>
      </c>
      <c r="F8" s="29" t="s">
        <v>21</v>
      </c>
      <c r="G8" s="29" t="s">
        <v>22</v>
      </c>
      <c r="H8" s="33">
        <f t="shared" si="0"/>
        <v>1012.307625</v>
      </c>
      <c r="I8" s="31">
        <f>(H7+H8)/H12</f>
        <v>0.18852046551167895</v>
      </c>
      <c r="J8" s="29" t="s">
        <v>54</v>
      </c>
      <c r="K8" s="33">
        <v>47.61</v>
      </c>
      <c r="L8" s="36">
        <v>25</v>
      </c>
      <c r="M8" s="33">
        <f>K8*0.8505</f>
        <v>40.492305000000002</v>
      </c>
      <c r="N8" s="33">
        <v>67.58</v>
      </c>
      <c r="O8" s="33">
        <f>N8*B17</f>
        <v>61.328849999999996</v>
      </c>
      <c r="P8" s="33">
        <f t="shared" si="1"/>
        <v>1533.2212499999998</v>
      </c>
      <c r="Q8" s="31">
        <f>(P7+P8)/P12</f>
        <v>0.24848436198247695</v>
      </c>
      <c r="R8" s="33"/>
      <c r="S8" s="31">
        <f t="shared" si="2"/>
        <v>0.51458036286153608</v>
      </c>
      <c r="T8" s="31"/>
      <c r="U8" s="7">
        <v>1.3011152416356878E-2</v>
      </c>
    </row>
    <row r="9" spans="1:21">
      <c r="A9" s="29" t="s">
        <v>38</v>
      </c>
      <c r="B9" s="38" t="s">
        <v>105</v>
      </c>
      <c r="C9" s="37" t="s">
        <v>106</v>
      </c>
      <c r="D9" s="29" t="s">
        <v>107</v>
      </c>
      <c r="E9" s="29" t="s">
        <v>29</v>
      </c>
      <c r="F9" s="29" t="s">
        <v>108</v>
      </c>
      <c r="G9" s="29" t="s">
        <v>22</v>
      </c>
      <c r="H9" s="33">
        <f t="shared" si="0"/>
        <v>921.2956200000001</v>
      </c>
      <c r="I9" s="31">
        <f>(H9)/H12</f>
        <v>9.4698652443075945E-2</v>
      </c>
      <c r="J9" s="29" t="s">
        <v>54</v>
      </c>
      <c r="K9" s="33">
        <v>270.81</v>
      </c>
      <c r="L9" s="36">
        <v>4</v>
      </c>
      <c r="M9" s="33">
        <f>K9*0.8505</f>
        <v>230.32390500000002</v>
      </c>
      <c r="N9" s="33">
        <v>299.04000000000002</v>
      </c>
      <c r="O9" s="33">
        <f>N9*B17</f>
        <v>271.37880000000001</v>
      </c>
      <c r="P9" s="33">
        <f t="shared" si="1"/>
        <v>1085.5152</v>
      </c>
      <c r="Q9" s="31">
        <f>(P9)/P12</f>
        <v>8.5523613080860122E-2</v>
      </c>
      <c r="R9" s="33"/>
      <c r="S9" s="31">
        <f t="shared" si="2"/>
        <v>0.17824851918866166</v>
      </c>
      <c r="T9" s="31"/>
      <c r="U9" s="7">
        <v>6.9964318197719162E-3</v>
      </c>
    </row>
    <row r="10" spans="1:21">
      <c r="A10" s="29" t="s">
        <v>46</v>
      </c>
      <c r="B10" s="29" t="s">
        <v>109</v>
      </c>
      <c r="C10" s="37" t="s">
        <v>110</v>
      </c>
      <c r="D10" s="29" t="s">
        <v>111</v>
      </c>
      <c r="E10" s="29" t="s">
        <v>10</v>
      </c>
      <c r="F10" s="29" t="s">
        <v>112</v>
      </c>
      <c r="G10" s="29" t="s">
        <v>16</v>
      </c>
      <c r="H10" s="33">
        <f t="shared" si="0"/>
        <v>1057.5</v>
      </c>
      <c r="I10" s="31">
        <f>(H10)/H12</f>
        <v>0.10869890487328356</v>
      </c>
      <c r="J10" s="29" t="s">
        <v>54</v>
      </c>
      <c r="K10" s="33">
        <v>105.75</v>
      </c>
      <c r="L10" s="36">
        <v>10</v>
      </c>
      <c r="M10" s="33">
        <f>K10</f>
        <v>105.75</v>
      </c>
      <c r="N10" s="33">
        <v>104.05</v>
      </c>
      <c r="O10" s="33">
        <f>N10</f>
        <v>104.05</v>
      </c>
      <c r="P10" s="33">
        <f t="shared" si="1"/>
        <v>1040.5</v>
      </c>
      <c r="Q10" s="31">
        <f>(P10)/P12</f>
        <v>8.1977036720107602E-2</v>
      </c>
      <c r="R10" s="33"/>
      <c r="S10" s="31">
        <f t="shared" si="2"/>
        <v>-1.6075650118203309E-2</v>
      </c>
      <c r="T10" s="31"/>
      <c r="U10" s="7">
        <v>2.7992671009771989E-2</v>
      </c>
    </row>
    <row r="11" spans="1:21" ht="28">
      <c r="A11" s="29" t="s">
        <v>113</v>
      </c>
      <c r="B11" s="39" t="s">
        <v>114</v>
      </c>
      <c r="C11" s="70" t="s">
        <v>233</v>
      </c>
      <c r="D11" s="29" t="s">
        <v>115</v>
      </c>
      <c r="E11" s="29" t="s">
        <v>20</v>
      </c>
      <c r="F11" s="29" t="s">
        <v>21</v>
      </c>
      <c r="G11" s="29" t="s">
        <v>22</v>
      </c>
      <c r="H11" s="33">
        <f t="shared" si="0"/>
        <v>1000.400625</v>
      </c>
      <c r="I11" s="31">
        <f>(H11)/H12</f>
        <v>0.10282974219579047</v>
      </c>
      <c r="J11" s="29" t="s">
        <v>54</v>
      </c>
      <c r="K11" s="33">
        <v>47.05</v>
      </c>
      <c r="L11" s="36">
        <v>25</v>
      </c>
      <c r="M11" s="33">
        <f>K11*0.8505</f>
        <v>40.016024999999999</v>
      </c>
      <c r="N11" s="33">
        <v>46.54</v>
      </c>
      <c r="O11" s="33">
        <f>N11*B17</f>
        <v>42.235050000000001</v>
      </c>
      <c r="P11" s="33">
        <f t="shared" si="1"/>
        <v>1055.87625</v>
      </c>
      <c r="Q11" s="31">
        <f>(P11)/P12</f>
        <v>8.3188472963132656E-2</v>
      </c>
      <c r="R11" s="33"/>
      <c r="S11" s="31">
        <f t="shared" si="2"/>
        <v>5.5453408978028217E-2</v>
      </c>
      <c r="T11" s="31"/>
      <c r="U11" s="7">
        <v>2.5399999999999999E-2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9728.7088700000004</v>
      </c>
      <c r="I12" s="12">
        <f>SUM(I2:I11)</f>
        <v>1</v>
      </c>
      <c r="J12" s="10"/>
      <c r="K12" s="11"/>
      <c r="L12" s="19"/>
      <c r="M12" s="11"/>
      <c r="N12" s="11"/>
      <c r="O12" s="11"/>
      <c r="P12" s="11">
        <f>SUM(P2:P11)</f>
        <v>12692.578819999999</v>
      </c>
      <c r="Q12" s="12">
        <f>SUM(Q2:Q11)</f>
        <v>1</v>
      </c>
      <c r="R12" s="11"/>
      <c r="S12" s="12">
        <f t="shared" si="2"/>
        <v>0.30465193168022081</v>
      </c>
      <c r="T12" s="12">
        <v>0.13639999999999999</v>
      </c>
      <c r="U12" s="12">
        <f>AVERAGE(U2:U11)</f>
        <v>1.9371688776865709E-2</v>
      </c>
    </row>
    <row r="14" spans="1:21">
      <c r="A14" s="40" t="s">
        <v>72</v>
      </c>
      <c r="B14" s="40"/>
      <c r="C14" s="40"/>
      <c r="D14" s="40"/>
      <c r="E14" s="40"/>
      <c r="F14" s="40"/>
      <c r="G14" s="40"/>
      <c r="H14" s="41"/>
      <c r="I14" s="42"/>
      <c r="J14" s="40" t="s">
        <v>64</v>
      </c>
      <c r="K14" s="41">
        <v>2010.9459999999999</v>
      </c>
      <c r="L14" s="43"/>
      <c r="M14" s="41"/>
      <c r="N14" s="41">
        <f>'170830_langfr_Geldanlage'!N14</f>
        <v>2268.8200000000002</v>
      </c>
      <c r="O14" s="41"/>
      <c r="P14" s="41"/>
      <c r="Q14" s="42"/>
      <c r="R14" s="41"/>
      <c r="S14" s="42">
        <f>(N14-K14)/K14</f>
        <v>0.12823516892049824</v>
      </c>
      <c r="T14" s="42">
        <v>5.9700000000000003E-2</v>
      </c>
    </row>
    <row r="16" spans="1:21">
      <c r="A16" s="35" t="s">
        <v>116</v>
      </c>
    </row>
    <row r="17" spans="1:3">
      <c r="A17" s="35" t="s">
        <v>22</v>
      </c>
      <c r="B17" s="35">
        <f>'170830_langfr_Geldanlage'!B18</f>
        <v>0.90749999999999997</v>
      </c>
    </row>
    <row r="18" spans="1:3">
      <c r="A18" s="35" t="s">
        <v>90</v>
      </c>
      <c r="B18" s="35">
        <v>0.90920000000000001</v>
      </c>
    </row>
    <row r="19" spans="1:3">
      <c r="A19" s="35" t="s">
        <v>83</v>
      </c>
      <c r="B19" s="35">
        <v>0.13370000000000001</v>
      </c>
    </row>
    <row r="22" spans="1:3">
      <c r="A22" s="48" t="s">
        <v>123</v>
      </c>
      <c r="B22" s="49">
        <f>'170830_langfr_Geldanlage'!B25</f>
        <v>43779</v>
      </c>
      <c r="C22" s="54" t="str">
        <f>'170830_langfr_Geldanlage'!C25</f>
        <v>15:30 Uhr</v>
      </c>
    </row>
    <row r="23" spans="1:3">
      <c r="A23" s="48" t="s">
        <v>124</v>
      </c>
      <c r="B23" s="44">
        <v>2.08</v>
      </c>
    </row>
  </sheetData>
  <phoneticPr fontId="19" type="noConversion"/>
  <pageMargins left="0.5" right="0.5" top="0.79000000000000015" bottom="0.79000000000000015" header="0.30000000000000004" footer="0.30000000000000004"/>
  <pageSetup paperSize="9" scale="47" orientation="landscape"/>
  <headerFooter>
    <oddHeader>&amp;C&amp;"Calibri,Standard"&amp;K000000Musterdepot per 04.10.2017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U25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5" sqref="P15"/>
    </sheetView>
  </sheetViews>
  <sheetFormatPr baseColWidth="10" defaultRowHeight="15" x14ac:dyDescent="0"/>
  <cols>
    <col min="1" max="1" width="19" style="1" bestFit="1" customWidth="1"/>
    <col min="2" max="2" width="36.33203125" style="1" bestFit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6" style="2" bestFit="1" customWidth="1"/>
    <col min="19" max="19" width="11.83203125" style="3" customWidth="1"/>
    <col min="20" max="20" width="12.6640625" style="3" customWidth="1"/>
    <col min="21" max="21" width="12" style="3" customWidth="1"/>
    <col min="22" max="16384" width="10.83203125" style="1"/>
  </cols>
  <sheetData>
    <row r="1" spans="1:21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47" t="s">
        <v>130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5" t="s">
        <v>51</v>
      </c>
      <c r="S1" s="9" t="s">
        <v>70</v>
      </c>
      <c r="T1" s="23" t="s">
        <v>74</v>
      </c>
      <c r="U1" s="68" t="s">
        <v>231</v>
      </c>
    </row>
    <row r="2" spans="1:21">
      <c r="A2" s="51" t="s">
        <v>126</v>
      </c>
      <c r="B2" s="51" t="s">
        <v>127</v>
      </c>
      <c r="C2" s="51" t="s">
        <v>128</v>
      </c>
      <c r="D2" s="51" t="s">
        <v>129</v>
      </c>
      <c r="E2" s="51" t="s">
        <v>20</v>
      </c>
      <c r="F2" s="51" t="s">
        <v>41</v>
      </c>
      <c r="G2" s="51" t="s">
        <v>42</v>
      </c>
      <c r="H2" s="6">
        <f t="shared" ref="H2:H11" si="0">M2*L2</f>
        <v>1025.74432</v>
      </c>
      <c r="I2" s="7"/>
      <c r="J2" s="51" t="s">
        <v>53</v>
      </c>
      <c r="K2" s="6">
        <v>40.729999999999997</v>
      </c>
      <c r="L2" s="18">
        <v>40</v>
      </c>
      <c r="M2" s="6">
        <f>K2*0.6296</f>
        <v>25.643608</v>
      </c>
      <c r="N2" s="6">
        <v>49.55</v>
      </c>
      <c r="O2" s="6">
        <f>N2*B21</f>
        <v>34.00121</v>
      </c>
      <c r="P2" s="6">
        <f t="shared" ref="P2:P11" si="1">L2*O2</f>
        <v>1360.0484000000001</v>
      </c>
      <c r="Q2" s="7"/>
      <c r="R2" s="33"/>
      <c r="S2" s="7">
        <f>(P2-H2)/H2</f>
        <v>0.32591365458401966</v>
      </c>
      <c r="T2" s="7"/>
      <c r="U2" s="7">
        <v>6.1538461538461542E-2</v>
      </c>
    </row>
    <row r="3" spans="1:21">
      <c r="A3" s="51" t="s">
        <v>131</v>
      </c>
      <c r="B3" s="51" t="s">
        <v>132</v>
      </c>
      <c r="C3" s="51" t="s">
        <v>133</v>
      </c>
      <c r="D3" s="51" t="s">
        <v>134</v>
      </c>
      <c r="E3" s="51" t="s">
        <v>29</v>
      </c>
      <c r="F3" s="51" t="s">
        <v>135</v>
      </c>
      <c r="G3" s="51" t="s">
        <v>16</v>
      </c>
      <c r="H3" s="6">
        <f t="shared" si="0"/>
        <v>946.80000000000007</v>
      </c>
      <c r="I3" s="7"/>
      <c r="J3" s="51" t="s">
        <v>136</v>
      </c>
      <c r="K3" s="6">
        <f>78.9/2</f>
        <v>39.450000000000003</v>
      </c>
      <c r="L3" s="18">
        <v>24</v>
      </c>
      <c r="M3" s="6">
        <f>K3</f>
        <v>39.450000000000003</v>
      </c>
      <c r="N3" s="6">
        <v>56</v>
      </c>
      <c r="O3" s="6">
        <f>N3</f>
        <v>56</v>
      </c>
      <c r="P3" s="6">
        <f t="shared" si="1"/>
        <v>1344</v>
      </c>
      <c r="Q3" s="7"/>
      <c r="R3" s="26"/>
      <c r="S3" s="7">
        <f t="shared" ref="S3:S12" si="2">(P3-H3)/H3</f>
        <v>0.41951837769328254</v>
      </c>
      <c r="T3" s="7"/>
      <c r="U3" s="7">
        <v>8.5292263493594294E-3</v>
      </c>
    </row>
    <row r="4" spans="1:21">
      <c r="A4" s="51" t="s">
        <v>4</v>
      </c>
      <c r="B4" s="51" t="s">
        <v>5</v>
      </c>
      <c r="C4" s="51" t="s">
        <v>6</v>
      </c>
      <c r="D4" s="51" t="s">
        <v>58</v>
      </c>
      <c r="E4" s="51" t="s">
        <v>7</v>
      </c>
      <c r="F4" s="51" t="s">
        <v>7</v>
      </c>
      <c r="G4" s="51" t="s">
        <v>16</v>
      </c>
      <c r="H4" s="6">
        <f t="shared" si="0"/>
        <v>988.00000000000011</v>
      </c>
      <c r="I4" s="7"/>
      <c r="J4" s="51" t="s">
        <v>53</v>
      </c>
      <c r="K4" s="6">
        <v>39.520000000000003</v>
      </c>
      <c r="L4" s="18">
        <v>25</v>
      </c>
      <c r="M4" s="6">
        <f>K4</f>
        <v>39.520000000000003</v>
      </c>
      <c r="N4" s="6">
        <v>44.6</v>
      </c>
      <c r="O4" s="6">
        <f>N4</f>
        <v>44.6</v>
      </c>
      <c r="P4" s="6">
        <f t="shared" si="1"/>
        <v>1115</v>
      </c>
      <c r="Q4" s="7"/>
      <c r="R4" s="28"/>
      <c r="S4" s="7">
        <f t="shared" si="2"/>
        <v>0.12854251012145737</v>
      </c>
      <c r="T4" s="7"/>
      <c r="U4" s="7">
        <v>2.2181324642353589E-2</v>
      </c>
    </row>
    <row r="5" spans="1:21">
      <c r="A5" s="51" t="s">
        <v>17</v>
      </c>
      <c r="B5" s="51" t="s">
        <v>137</v>
      </c>
      <c r="C5" s="51" t="s">
        <v>138</v>
      </c>
      <c r="D5" s="51" t="s">
        <v>139</v>
      </c>
      <c r="E5" s="51" t="s">
        <v>10</v>
      </c>
      <c r="F5" s="51" t="s">
        <v>15</v>
      </c>
      <c r="G5" s="51" t="s">
        <v>16</v>
      </c>
      <c r="H5" s="6">
        <f t="shared" si="0"/>
        <v>1068</v>
      </c>
      <c r="I5" s="7"/>
      <c r="J5" s="51" t="s">
        <v>60</v>
      </c>
      <c r="K5" s="6">
        <v>106.8</v>
      </c>
      <c r="L5" s="18">
        <v>10</v>
      </c>
      <c r="M5" s="6">
        <f>K5</f>
        <v>106.8</v>
      </c>
      <c r="N5" s="6">
        <v>95.06</v>
      </c>
      <c r="O5" s="6">
        <f>N5</f>
        <v>95.06</v>
      </c>
      <c r="P5" s="6">
        <f t="shared" si="1"/>
        <v>950.6</v>
      </c>
      <c r="Q5" s="7"/>
      <c r="R5" s="33"/>
      <c r="S5" s="7">
        <f t="shared" si="2"/>
        <v>-0.10992509363295878</v>
      </c>
      <c r="T5" s="7"/>
      <c r="U5" s="7">
        <v>1.9854045932603561E-2</v>
      </c>
    </row>
    <row r="6" spans="1:21">
      <c r="A6" s="51" t="s">
        <v>25</v>
      </c>
      <c r="B6" s="51" t="s">
        <v>144</v>
      </c>
      <c r="C6" s="51" t="s">
        <v>142</v>
      </c>
      <c r="D6" s="51" t="s">
        <v>143</v>
      </c>
      <c r="E6" s="51" t="s">
        <v>20</v>
      </c>
      <c r="F6" s="51" t="s">
        <v>21</v>
      </c>
      <c r="G6" s="51" t="s">
        <v>22</v>
      </c>
      <c r="H6" s="6">
        <f t="shared" si="0"/>
        <v>1052.9375520000001</v>
      </c>
      <c r="I6" s="7"/>
      <c r="J6" s="51" t="s">
        <v>75</v>
      </c>
      <c r="K6" s="6">
        <v>216.28</v>
      </c>
      <c r="L6" s="18">
        <v>6</v>
      </c>
      <c r="M6" s="6">
        <f>K6*0.8114</f>
        <v>175.48959200000002</v>
      </c>
      <c r="N6" s="6">
        <v>187.56</v>
      </c>
      <c r="O6" s="6">
        <f>N6*B18</f>
        <v>170.2107</v>
      </c>
      <c r="P6" s="6">
        <f t="shared" si="1"/>
        <v>1021.2642000000001</v>
      </c>
      <c r="Q6" s="7"/>
      <c r="R6" s="22"/>
      <c r="S6" s="7">
        <f t="shared" si="2"/>
        <v>-3.0080940640627867E-2</v>
      </c>
      <c r="T6" s="7"/>
      <c r="U6" s="7">
        <v>1.5762097409761991E-2</v>
      </c>
    </row>
    <row r="7" spans="1:21">
      <c r="A7" s="51" t="s">
        <v>26</v>
      </c>
      <c r="B7" s="51" t="s">
        <v>145</v>
      </c>
      <c r="C7" s="51" t="s">
        <v>140</v>
      </c>
      <c r="D7" s="51" t="s">
        <v>146</v>
      </c>
      <c r="E7" s="51" t="s">
        <v>10</v>
      </c>
      <c r="F7" s="51" t="s">
        <v>15</v>
      </c>
      <c r="G7" s="51" t="s">
        <v>16</v>
      </c>
      <c r="H7" s="6">
        <f t="shared" si="0"/>
        <v>1015</v>
      </c>
      <c r="I7" s="7"/>
      <c r="J7" s="51" t="s">
        <v>147</v>
      </c>
      <c r="K7" s="6">
        <v>507.5</v>
      </c>
      <c r="L7" s="18">
        <v>2</v>
      </c>
      <c r="M7" s="6">
        <f>K7</f>
        <v>507.5</v>
      </c>
      <c r="N7" s="6">
        <v>715.5</v>
      </c>
      <c r="O7" s="6">
        <f>N7</f>
        <v>715.5</v>
      </c>
      <c r="P7" s="6">
        <f t="shared" si="1"/>
        <v>1431</v>
      </c>
      <c r="Q7" s="7"/>
      <c r="R7" s="28"/>
      <c r="S7" s="7">
        <f t="shared" si="2"/>
        <v>0.40985221674876848</v>
      </c>
      <c r="T7" s="7"/>
      <c r="U7" s="7">
        <v>1.391941391941392E-2</v>
      </c>
    </row>
    <row r="8" spans="1:21">
      <c r="A8" s="51" t="s">
        <v>26</v>
      </c>
      <c r="B8" s="51" t="s">
        <v>32</v>
      </c>
      <c r="C8" s="51" t="s">
        <v>33</v>
      </c>
      <c r="D8" s="51" t="s">
        <v>57</v>
      </c>
      <c r="E8" s="51" t="s">
        <v>10</v>
      </c>
      <c r="F8" s="51" t="s">
        <v>148</v>
      </c>
      <c r="G8" s="51" t="s">
        <v>117</v>
      </c>
      <c r="H8" s="6">
        <f t="shared" si="0"/>
        <v>1025.28855</v>
      </c>
      <c r="I8" s="7"/>
      <c r="J8" s="51" t="s">
        <v>53</v>
      </c>
      <c r="K8" s="6">
        <v>19.5</v>
      </c>
      <c r="L8" s="18">
        <v>47</v>
      </c>
      <c r="M8" s="6">
        <f>K8*1.1187</f>
        <v>21.81465</v>
      </c>
      <c r="N8" s="6">
        <v>20.9</v>
      </c>
      <c r="O8" s="6">
        <f>N8*B19</f>
        <v>24.225189999999998</v>
      </c>
      <c r="P8" s="6">
        <f t="shared" si="1"/>
        <v>1138.5839299999998</v>
      </c>
      <c r="Q8" s="7"/>
      <c r="R8" s="33"/>
      <c r="S8" s="7">
        <f t="shared" si="2"/>
        <v>0.11050097067796164</v>
      </c>
      <c r="T8" s="7"/>
      <c r="U8" s="7">
        <v>2.5000000000000001E-2</v>
      </c>
    </row>
    <row r="9" spans="1:21">
      <c r="A9" s="51" t="s">
        <v>46</v>
      </c>
      <c r="B9" s="51" t="s">
        <v>150</v>
      </c>
      <c r="C9" s="51" t="s">
        <v>151</v>
      </c>
      <c r="D9" s="51" t="s">
        <v>152</v>
      </c>
      <c r="E9" s="51" t="s">
        <v>10</v>
      </c>
      <c r="F9" s="51" t="s">
        <v>112</v>
      </c>
      <c r="G9" s="51" t="s">
        <v>16</v>
      </c>
      <c r="H9" s="6">
        <f t="shared" si="0"/>
        <v>907.6</v>
      </c>
      <c r="I9" s="7"/>
      <c r="J9" s="51" t="s">
        <v>60</v>
      </c>
      <c r="K9" s="6">
        <v>453.8</v>
      </c>
      <c r="L9" s="18">
        <v>2</v>
      </c>
      <c r="M9" s="6">
        <f>K9</f>
        <v>453.8</v>
      </c>
      <c r="N9" s="6">
        <v>455.4</v>
      </c>
      <c r="O9" s="6">
        <f>N9</f>
        <v>455.4</v>
      </c>
      <c r="P9" s="6">
        <f t="shared" si="1"/>
        <v>910.8</v>
      </c>
      <c r="Q9" s="7"/>
      <c r="R9" s="33"/>
      <c r="S9" s="7">
        <f t="shared" si="2"/>
        <v>3.5257822829439529E-3</v>
      </c>
      <c r="T9" s="7"/>
      <c r="U9" s="7">
        <v>6.2882096069868994E-3</v>
      </c>
    </row>
    <row r="10" spans="1:21">
      <c r="A10" s="51" t="s">
        <v>38</v>
      </c>
      <c r="B10" s="51" t="s">
        <v>153</v>
      </c>
      <c r="C10" s="51" t="s">
        <v>141</v>
      </c>
      <c r="D10" s="51" t="s">
        <v>154</v>
      </c>
      <c r="E10" s="51" t="s">
        <v>20</v>
      </c>
      <c r="F10" s="51" t="s">
        <v>21</v>
      </c>
      <c r="G10" s="51" t="s">
        <v>22</v>
      </c>
      <c r="H10" s="6">
        <f t="shared" si="0"/>
        <v>990.784312</v>
      </c>
      <c r="I10" s="7"/>
      <c r="J10" s="51" t="s">
        <v>155</v>
      </c>
      <c r="K10" s="6">
        <v>43.61</v>
      </c>
      <c r="L10" s="18">
        <v>28</v>
      </c>
      <c r="M10" s="6">
        <f>K10*0.8114</f>
        <v>35.385154</v>
      </c>
      <c r="N10" s="6">
        <v>48.83</v>
      </c>
      <c r="O10" s="6">
        <f>N10*B18</f>
        <v>44.313224999999996</v>
      </c>
      <c r="P10" s="6">
        <f t="shared" si="1"/>
        <v>1240.7702999999999</v>
      </c>
      <c r="Q10" s="7"/>
      <c r="R10" s="28"/>
      <c r="S10" s="7">
        <f t="shared" si="2"/>
        <v>0.25231120938459095</v>
      </c>
      <c r="T10" s="7"/>
      <c r="U10" s="7">
        <v>2.9046516522837296E-2</v>
      </c>
    </row>
    <row r="11" spans="1:21" ht="30">
      <c r="A11" s="51" t="s">
        <v>38</v>
      </c>
      <c r="B11" s="52" t="s">
        <v>105</v>
      </c>
      <c r="C11" s="51" t="s">
        <v>106</v>
      </c>
      <c r="D11" s="51" t="s">
        <v>107</v>
      </c>
      <c r="E11" s="51" t="s">
        <v>29</v>
      </c>
      <c r="F11" s="51" t="s">
        <v>108</v>
      </c>
      <c r="G11" s="51" t="s">
        <v>22</v>
      </c>
      <c r="H11" s="6">
        <f t="shared" si="0"/>
        <v>922.82144799999992</v>
      </c>
      <c r="I11" s="7"/>
      <c r="J11" s="51" t="s">
        <v>60</v>
      </c>
      <c r="K11" s="6">
        <v>284.33</v>
      </c>
      <c r="L11" s="18">
        <v>4</v>
      </c>
      <c r="M11" s="6">
        <f>K11*0.8114</f>
        <v>230.70536199999998</v>
      </c>
      <c r="N11" s="6">
        <v>299.04000000000002</v>
      </c>
      <c r="O11" s="6">
        <f>N11*B18</f>
        <v>271.37880000000001</v>
      </c>
      <c r="P11" s="6">
        <f t="shared" si="1"/>
        <v>1085.5152</v>
      </c>
      <c r="Q11" s="7"/>
      <c r="R11" s="33"/>
      <c r="S11" s="7">
        <f t="shared" si="2"/>
        <v>0.17630035837658614</v>
      </c>
      <c r="T11" s="7"/>
      <c r="U11" s="7">
        <v>6.9964318197719162E-3</v>
      </c>
    </row>
    <row r="12" spans="1:21" s="4" customFormat="1">
      <c r="A12" s="10"/>
      <c r="B12" s="10"/>
      <c r="C12" s="10"/>
      <c r="D12" s="10"/>
      <c r="E12" s="10"/>
      <c r="F12" s="10"/>
      <c r="G12" s="10"/>
      <c r="H12" s="11">
        <f>SUM(H2:H11)</f>
        <v>9942.9761820000022</v>
      </c>
      <c r="I12" s="12">
        <f>SUM(I2:I11)</f>
        <v>0</v>
      </c>
      <c r="J12" s="10"/>
      <c r="K12" s="11"/>
      <c r="L12" s="19"/>
      <c r="M12" s="11"/>
      <c r="N12" s="11"/>
      <c r="O12" s="11"/>
      <c r="P12" s="11">
        <f>SUM(P2:P11)</f>
        <v>11597.58203</v>
      </c>
      <c r="Q12" s="12"/>
      <c r="R12" s="11"/>
      <c r="S12" s="12">
        <f t="shared" si="2"/>
        <v>0.1664095153919174</v>
      </c>
      <c r="T12" s="12">
        <v>9.6600000000000005E-2</v>
      </c>
      <c r="U12" s="12">
        <f>AVERAGE(U2:U11)</f>
        <v>2.0911572774155014E-2</v>
      </c>
    </row>
    <row r="14" spans="1:21">
      <c r="A14" s="13" t="s">
        <v>72</v>
      </c>
      <c r="B14" s="14"/>
      <c r="C14" s="14"/>
      <c r="D14" s="14"/>
      <c r="E14" s="14"/>
      <c r="F14" s="14"/>
      <c r="G14" s="14"/>
      <c r="H14" s="15"/>
      <c r="I14" s="16"/>
      <c r="J14" s="50" t="s">
        <v>125</v>
      </c>
      <c r="K14" s="15">
        <v>2089.9699999999998</v>
      </c>
      <c r="L14" s="20"/>
      <c r="M14" s="15"/>
      <c r="N14" s="15">
        <f>'170830_langfr_Geldanlage'!N14</f>
        <v>2268.8200000000002</v>
      </c>
      <c r="O14" s="15"/>
      <c r="P14" s="15"/>
      <c r="Q14" s="16"/>
      <c r="R14" s="24"/>
      <c r="S14" s="16">
        <f>(N14-K14)/K14</f>
        <v>8.5575391034321255E-2</v>
      </c>
      <c r="T14" s="16">
        <v>5.04E-2</v>
      </c>
    </row>
    <row r="17" spans="1:3">
      <c r="A17" s="35" t="s">
        <v>116</v>
      </c>
      <c r="B17" s="35"/>
    </row>
    <row r="18" spans="1:3">
      <c r="A18" s="35" t="s">
        <v>22</v>
      </c>
      <c r="B18" s="35">
        <f>'170830_langfr_Geldanlage'!B18</f>
        <v>0.90749999999999997</v>
      </c>
    </row>
    <row r="19" spans="1:3">
      <c r="A19" s="35" t="s">
        <v>118</v>
      </c>
      <c r="B19" s="1">
        <f>'170830_langfr_Geldanlage'!B19</f>
        <v>1.1591</v>
      </c>
    </row>
    <row r="20" spans="1:3">
      <c r="A20" s="48" t="s">
        <v>14</v>
      </c>
      <c r="B20" s="35">
        <v>0.623</v>
      </c>
    </row>
    <row r="21" spans="1:3">
      <c r="A21" s="35" t="s">
        <v>42</v>
      </c>
      <c r="B21" s="1">
        <f>'170830_langfr_Geldanlage'!B21</f>
        <v>0.68620000000000003</v>
      </c>
    </row>
    <row r="24" spans="1:3">
      <c r="A24" s="48" t="s">
        <v>123</v>
      </c>
      <c r="B24" s="49">
        <f>'170830_langfr_Geldanlage'!B25</f>
        <v>43779</v>
      </c>
      <c r="C24" s="53" t="str">
        <f>'171004_langfr_Geldanlage'!C22</f>
        <v>15:30 Uhr</v>
      </c>
    </row>
    <row r="25" spans="1:3">
      <c r="A25" s="48" t="s">
        <v>124</v>
      </c>
      <c r="B25" s="2">
        <v>1.67</v>
      </c>
    </row>
  </sheetData>
  <phoneticPr fontId="19" type="noConversion"/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3" sqref="J13"/>
    </sheetView>
  </sheetViews>
  <sheetFormatPr baseColWidth="10" defaultRowHeight="15" x14ac:dyDescent="0"/>
  <cols>
    <col min="1" max="1" width="19" style="1" bestFit="1" customWidth="1"/>
    <col min="2" max="2" width="41" style="1" customWidth="1"/>
    <col min="3" max="3" width="19.83203125" style="1" bestFit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58" t="s">
        <v>168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 ht="30">
      <c r="A2" s="56" t="s">
        <v>131</v>
      </c>
      <c r="B2" s="57" t="s">
        <v>173</v>
      </c>
      <c r="C2" s="56" t="s">
        <v>159</v>
      </c>
      <c r="D2" s="56" t="s">
        <v>161</v>
      </c>
      <c r="E2" s="56" t="s">
        <v>10</v>
      </c>
      <c r="F2" s="56" t="s">
        <v>15</v>
      </c>
      <c r="G2" s="56" t="s">
        <v>16</v>
      </c>
      <c r="H2" s="6">
        <f t="shared" ref="H2:H10" si="0">M2*L2</f>
        <v>1046.6500000000001</v>
      </c>
      <c r="I2" s="7">
        <f>H2/H11</f>
        <v>0.11321168800391755</v>
      </c>
      <c r="J2" s="56" t="s">
        <v>158</v>
      </c>
      <c r="K2" s="6">
        <v>95.15</v>
      </c>
      <c r="L2" s="18">
        <v>11</v>
      </c>
      <c r="M2" s="6">
        <f>K2</f>
        <v>95.15</v>
      </c>
      <c r="N2" s="6">
        <v>90.3</v>
      </c>
      <c r="O2" s="6">
        <f>N2</f>
        <v>90.3</v>
      </c>
      <c r="P2" s="6">
        <f t="shared" ref="P2:P10" si="1">L2*O2</f>
        <v>993.3</v>
      </c>
      <c r="Q2" s="7"/>
      <c r="R2" s="7">
        <f t="shared" ref="R2:R11" si="2">(P2-H2)/H2</f>
        <v>-5.0972149238045321E-2</v>
      </c>
      <c r="S2" s="7"/>
      <c r="T2" s="7">
        <v>9.4999999999999998E-3</v>
      </c>
    </row>
    <row r="3" spans="1:20" ht="30">
      <c r="A3" s="56" t="s">
        <v>4</v>
      </c>
      <c r="B3" s="57" t="s">
        <v>177</v>
      </c>
      <c r="C3" s="57" t="s">
        <v>178</v>
      </c>
      <c r="D3" s="56" t="s">
        <v>179</v>
      </c>
      <c r="E3" s="56" t="s">
        <v>20</v>
      </c>
      <c r="F3" s="56" t="s">
        <v>21</v>
      </c>
      <c r="G3" s="56" t="s">
        <v>22</v>
      </c>
      <c r="H3" s="6">
        <f t="shared" si="0"/>
        <v>1011.1920280000001</v>
      </c>
      <c r="I3" s="7"/>
      <c r="J3" s="56" t="s">
        <v>180</v>
      </c>
      <c r="K3" s="6">
        <v>41.09</v>
      </c>
      <c r="L3" s="18">
        <v>28</v>
      </c>
      <c r="M3" s="6">
        <f>K3*0.8789</f>
        <v>36.114001000000002</v>
      </c>
      <c r="N3" s="6">
        <v>25.38</v>
      </c>
      <c r="O3" s="6">
        <f>N3*B17</f>
        <v>23.032349999999997</v>
      </c>
      <c r="P3" s="6">
        <f t="shared" si="1"/>
        <v>644.90579999999989</v>
      </c>
      <c r="Q3" s="7"/>
      <c r="R3" s="7">
        <f t="shared" si="2"/>
        <v>-0.36223211601506033</v>
      </c>
      <c r="S3" s="7"/>
      <c r="T3" s="7">
        <v>3.2532840722495897E-2</v>
      </c>
    </row>
    <row r="4" spans="1:20">
      <c r="A4" s="56" t="s">
        <v>4</v>
      </c>
      <c r="B4" s="56" t="s">
        <v>181</v>
      </c>
      <c r="C4" s="56" t="s">
        <v>182</v>
      </c>
      <c r="D4" s="56" t="s">
        <v>183</v>
      </c>
      <c r="E4" s="56" t="s">
        <v>10</v>
      </c>
      <c r="F4" s="56" t="s">
        <v>89</v>
      </c>
      <c r="G4" s="56" t="s">
        <v>90</v>
      </c>
      <c r="H4" s="6">
        <f t="shared" si="0"/>
        <v>994.99572000000012</v>
      </c>
      <c r="I4" s="7">
        <f>(H3+H4)/H11</f>
        <v>0.21700081345612954</v>
      </c>
      <c r="J4" s="56" t="s">
        <v>193</v>
      </c>
      <c r="K4" s="6">
        <v>66.45</v>
      </c>
      <c r="L4" s="18">
        <v>17</v>
      </c>
      <c r="M4" s="6">
        <f>K4*0.8808</f>
        <v>58.529160000000005</v>
      </c>
      <c r="N4" s="6">
        <v>64.349999999999994</v>
      </c>
      <c r="O4" s="6">
        <f>N4*B19</f>
        <v>58.507019999999997</v>
      </c>
      <c r="P4" s="6">
        <f t="shared" si="1"/>
        <v>994.61933999999997</v>
      </c>
      <c r="Q4" s="7"/>
      <c r="R4" s="7">
        <f t="shared" si="2"/>
        <v>-3.782729839281658E-4</v>
      </c>
      <c r="S4" s="7"/>
      <c r="T4" s="7">
        <v>5.422222222222222E-2</v>
      </c>
    </row>
    <row r="5" spans="1:20">
      <c r="A5" s="56" t="s">
        <v>119</v>
      </c>
      <c r="B5" s="56" t="s">
        <v>185</v>
      </c>
      <c r="C5" s="56" t="s">
        <v>184</v>
      </c>
      <c r="D5" s="56" t="s">
        <v>186</v>
      </c>
      <c r="E5" s="56" t="s">
        <v>20</v>
      </c>
      <c r="F5" s="56" t="s">
        <v>21</v>
      </c>
      <c r="G5" s="56" t="s">
        <v>22</v>
      </c>
      <c r="H5" s="6">
        <f t="shared" si="0"/>
        <v>1017.9771360000001</v>
      </c>
      <c r="I5" s="7">
        <f>H5/H11</f>
        <v>0.11011026600673916</v>
      </c>
      <c r="J5" s="56" t="s">
        <v>187</v>
      </c>
      <c r="K5" s="6">
        <v>60.96</v>
      </c>
      <c r="L5" s="18">
        <v>19</v>
      </c>
      <c r="M5" s="6">
        <f>K5*0.8789</f>
        <v>53.577744000000003</v>
      </c>
      <c r="N5" s="6">
        <v>82.63</v>
      </c>
      <c r="O5" s="6">
        <f>N5*B17</f>
        <v>74.986724999999993</v>
      </c>
      <c r="P5" s="6">
        <f t="shared" si="1"/>
        <v>1424.7477749999998</v>
      </c>
      <c r="Q5" s="7"/>
      <c r="R5" s="7">
        <f t="shared" si="2"/>
        <v>0.399587205463522</v>
      </c>
      <c r="S5" s="7"/>
      <c r="T5" s="7">
        <v>1.8118130208962434E-2</v>
      </c>
    </row>
    <row r="6" spans="1:20">
      <c r="A6" s="56" t="s">
        <v>165</v>
      </c>
      <c r="B6" s="56" t="s">
        <v>171</v>
      </c>
      <c r="C6" s="56" t="s">
        <v>166</v>
      </c>
      <c r="D6" s="56" t="s">
        <v>167</v>
      </c>
      <c r="E6" s="56" t="s">
        <v>29</v>
      </c>
      <c r="F6" s="56" t="s">
        <v>108</v>
      </c>
      <c r="G6" s="56" t="s">
        <v>22</v>
      </c>
      <c r="H6" s="6">
        <f t="shared" si="0"/>
        <v>1058.1340770000002</v>
      </c>
      <c r="I6" s="7">
        <f>H6/H11</f>
        <v>0.11445387186895073</v>
      </c>
      <c r="J6" s="56" t="s">
        <v>169</v>
      </c>
      <c r="K6" s="6">
        <v>171.99</v>
      </c>
      <c r="L6" s="18">
        <v>7</v>
      </c>
      <c r="M6" s="6">
        <f>K6*0.8789</f>
        <v>151.16201100000001</v>
      </c>
      <c r="N6" s="6">
        <v>187.16</v>
      </c>
      <c r="O6" s="6">
        <f>N6*B17</f>
        <v>169.8477</v>
      </c>
      <c r="P6" s="6">
        <f t="shared" si="1"/>
        <v>1188.9339</v>
      </c>
      <c r="Q6" s="7"/>
      <c r="R6" s="7">
        <f t="shared" si="2"/>
        <v>0.12361365713770488</v>
      </c>
      <c r="S6" s="7"/>
      <c r="T6" s="7">
        <v>0</v>
      </c>
    </row>
    <row r="7" spans="1:20" ht="30">
      <c r="A7" s="56" t="s">
        <v>26</v>
      </c>
      <c r="B7" s="57" t="s">
        <v>172</v>
      </c>
      <c r="C7" s="56" t="s">
        <v>162</v>
      </c>
      <c r="D7" s="56" t="s">
        <v>163</v>
      </c>
      <c r="E7" s="56" t="s">
        <v>20</v>
      </c>
      <c r="F7" s="56" t="s">
        <v>21</v>
      </c>
      <c r="G7" s="56" t="s">
        <v>22</v>
      </c>
      <c r="H7" s="6">
        <f t="shared" si="0"/>
        <v>1071.2912100000001</v>
      </c>
      <c r="I7" s="7"/>
      <c r="J7" s="56" t="s">
        <v>164</v>
      </c>
      <c r="K7" s="6">
        <v>203.15</v>
      </c>
      <c r="L7" s="18">
        <v>6</v>
      </c>
      <c r="M7" s="6">
        <f>K7*0.8789</f>
        <v>178.54853500000002</v>
      </c>
      <c r="N7" s="6">
        <v>173.15</v>
      </c>
      <c r="O7" s="6">
        <f>N7*B17</f>
        <v>157.13362499999999</v>
      </c>
      <c r="P7" s="6">
        <f t="shared" si="1"/>
        <v>942.80174999999997</v>
      </c>
      <c r="Q7" s="7"/>
      <c r="R7" s="7">
        <f t="shared" si="2"/>
        <v>-0.11993887264322846</v>
      </c>
      <c r="S7" s="7"/>
      <c r="T7" s="7">
        <v>3.4911206739802407E-2</v>
      </c>
    </row>
    <row r="8" spans="1:20" ht="30">
      <c r="A8" s="56" t="s">
        <v>26</v>
      </c>
      <c r="B8" s="57" t="s">
        <v>188</v>
      </c>
      <c r="C8" s="56" t="s">
        <v>189</v>
      </c>
      <c r="D8" s="56" t="s">
        <v>190</v>
      </c>
      <c r="E8" s="56" t="s">
        <v>10</v>
      </c>
      <c r="F8" s="56" t="s">
        <v>49</v>
      </c>
      <c r="G8" s="56" t="s">
        <v>50</v>
      </c>
      <c r="H8" s="6">
        <f t="shared" si="0"/>
        <v>1007.8210499999999</v>
      </c>
      <c r="I8" s="7">
        <f>(H7+H8)/H11</f>
        <v>0.22488874839176409</v>
      </c>
      <c r="J8" s="56" t="s">
        <v>191</v>
      </c>
      <c r="K8" s="6">
        <v>181.95</v>
      </c>
      <c r="L8" s="18">
        <v>58</v>
      </c>
      <c r="M8" s="6">
        <f>K8*0.0955</f>
        <v>17.376224999999998</v>
      </c>
      <c r="N8" s="6">
        <v>227.25</v>
      </c>
      <c r="O8" s="6">
        <f>N8*B20</f>
        <v>21.247875000000001</v>
      </c>
      <c r="P8" s="6">
        <f t="shared" si="1"/>
        <v>1232.3767500000001</v>
      </c>
      <c r="Q8" s="7"/>
      <c r="R8" s="7">
        <f t="shared" si="2"/>
        <v>0.22281306785564783</v>
      </c>
      <c r="S8" s="7"/>
      <c r="T8" s="7">
        <v>1.5161360190599956E-2</v>
      </c>
    </row>
    <row r="9" spans="1:20" ht="30">
      <c r="A9" s="56" t="s">
        <v>38</v>
      </c>
      <c r="B9" s="57" t="s">
        <v>170</v>
      </c>
      <c r="C9" s="56" t="s">
        <v>174</v>
      </c>
      <c r="D9" s="56" t="s">
        <v>175</v>
      </c>
      <c r="E9" s="56" t="s">
        <v>29</v>
      </c>
      <c r="F9" s="56" t="s">
        <v>108</v>
      </c>
      <c r="G9" s="56" t="s">
        <v>22</v>
      </c>
      <c r="H9" s="6">
        <f t="shared" si="0"/>
        <v>1010.9107800000002</v>
      </c>
      <c r="I9" s="7"/>
      <c r="J9" s="56" t="s">
        <v>176</v>
      </c>
      <c r="K9" s="6">
        <v>42.6</v>
      </c>
      <c r="L9" s="18">
        <v>27</v>
      </c>
      <c r="M9" s="6">
        <f>K9*0.8789</f>
        <v>37.441140000000004</v>
      </c>
      <c r="N9" s="6">
        <v>41.93</v>
      </c>
      <c r="O9" s="6">
        <f>N9*B17</f>
        <v>38.051474999999996</v>
      </c>
      <c r="P9" s="6">
        <f t="shared" si="1"/>
        <v>1027.389825</v>
      </c>
      <c r="Q9" s="7"/>
      <c r="R9" s="7">
        <f t="shared" si="2"/>
        <v>1.6301186342082347E-2</v>
      </c>
      <c r="S9" s="7"/>
      <c r="T9" s="7">
        <v>3.140541578481044E-3</v>
      </c>
    </row>
    <row r="10" spans="1:20" ht="30">
      <c r="A10" s="56" t="s">
        <v>38</v>
      </c>
      <c r="B10" s="57" t="s">
        <v>157</v>
      </c>
      <c r="C10" s="56" t="s">
        <v>156</v>
      </c>
      <c r="D10" s="56" t="s">
        <v>160</v>
      </c>
      <c r="E10" s="56" t="s">
        <v>20</v>
      </c>
      <c r="F10" s="56" t="s">
        <v>21</v>
      </c>
      <c r="G10" s="56" t="s">
        <v>22</v>
      </c>
      <c r="H10" s="6">
        <f t="shared" si="0"/>
        <v>1026.098172</v>
      </c>
      <c r="I10" s="7">
        <f>(H9+H10)/H11</f>
        <v>0.22033461227249898</v>
      </c>
      <c r="J10" s="56" t="s">
        <v>158</v>
      </c>
      <c r="K10" s="6">
        <v>64.86</v>
      </c>
      <c r="L10" s="18">
        <v>18</v>
      </c>
      <c r="M10" s="6">
        <f>K10*0.8789</f>
        <v>57.005454</v>
      </c>
      <c r="N10" s="6">
        <v>67.31</v>
      </c>
      <c r="O10" s="6">
        <f>N10*B17</f>
        <v>61.083824999999997</v>
      </c>
      <c r="P10" s="6">
        <f t="shared" si="1"/>
        <v>1099.5088499999999</v>
      </c>
      <c r="Q10" s="7"/>
      <c r="R10" s="7">
        <f t="shared" si="2"/>
        <v>7.1543522835551807E-2</v>
      </c>
      <c r="S10" s="7"/>
      <c r="T10" s="7">
        <v>1.072705601907032E-2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9245.0701730000001</v>
      </c>
      <c r="I11" s="12">
        <f>SUM(I2:I10)</f>
        <v>1</v>
      </c>
      <c r="J11" s="10"/>
      <c r="K11" s="11"/>
      <c r="L11" s="19"/>
      <c r="M11" s="11"/>
      <c r="N11" s="11"/>
      <c r="O11" s="11"/>
      <c r="P11" s="11">
        <f>SUM(P2:P10)</f>
        <v>9548.5839899999992</v>
      </c>
      <c r="Q11" s="12"/>
      <c r="R11" s="12">
        <f t="shared" si="2"/>
        <v>3.2829801323347847E-2</v>
      </c>
      <c r="S11" s="12">
        <v>2.6200000000000001E-2</v>
      </c>
      <c r="T11" s="12">
        <f>AVERAGE(T2:T10)</f>
        <v>1.9812595297959364E-2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55" t="s">
        <v>192</v>
      </c>
      <c r="K13" s="15">
        <v>2131.0500000000002</v>
      </c>
      <c r="L13" s="20"/>
      <c r="M13" s="15"/>
      <c r="N13" s="15">
        <f>'170830_langfr_Geldanlage'!N14</f>
        <v>2268.8200000000002</v>
      </c>
      <c r="O13" s="15"/>
      <c r="P13" s="15"/>
      <c r="Q13" s="16"/>
      <c r="R13" s="16">
        <f>(N13-K13)/K13</f>
        <v>6.4648882006522593E-2</v>
      </c>
      <c r="S13" s="16">
        <v>5.1400000000000001E-2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0.90749999999999997</v>
      </c>
    </row>
    <row r="18" spans="1:3">
      <c r="A18" s="35" t="s">
        <v>118</v>
      </c>
      <c r="B18" s="1">
        <f>'170830_langfr_Geldanlage'!B19</f>
        <v>1.1591</v>
      </c>
    </row>
    <row r="19" spans="1:3">
      <c r="A19" s="59" t="s">
        <v>90</v>
      </c>
      <c r="B19" s="35">
        <f>'171004_langfr_Geldanlage'!B18</f>
        <v>0.90920000000000001</v>
      </c>
    </row>
    <row r="20" spans="1:3">
      <c r="A20" s="59" t="s">
        <v>50</v>
      </c>
      <c r="B20" s="1">
        <f>'170830_langfr_Geldanlage'!B22</f>
        <v>9.35E-2</v>
      </c>
    </row>
    <row r="23" spans="1:3">
      <c r="A23" s="48" t="s">
        <v>123</v>
      </c>
      <c r="B23" s="49">
        <f>'170830_langfr_Geldanlage'!B25</f>
        <v>43779</v>
      </c>
      <c r="C23" s="53" t="str">
        <f>'171004_langfr_Geldanlage'!C22</f>
        <v>15:30 Uhr</v>
      </c>
    </row>
    <row r="24" spans="1:3">
      <c r="A24" s="48" t="s">
        <v>124</v>
      </c>
      <c r="B24" s="2">
        <v>1.25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24"/>
  <sheetViews>
    <sheetView tabSelected="1" zoomScale="150" zoomScaleNormal="150" zoomScalePageLayoutView="1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7" sqref="K27"/>
    </sheetView>
  </sheetViews>
  <sheetFormatPr baseColWidth="10" defaultRowHeight="15" x14ac:dyDescent="0"/>
  <cols>
    <col min="1" max="1" width="19" style="1" bestFit="1" customWidth="1"/>
    <col min="2" max="2" width="41.83203125" style="1" customWidth="1"/>
    <col min="3" max="3" width="25.33203125" style="1" customWidth="1"/>
    <col min="4" max="4" width="10.5" style="1" bestFit="1" customWidth="1"/>
    <col min="5" max="5" width="9.5" style="1" bestFit="1" customWidth="1"/>
    <col min="6" max="6" width="12.6640625" style="1" bestFit="1" customWidth="1"/>
    <col min="7" max="7" width="8.83203125" style="1" bestFit="1" customWidth="1"/>
    <col min="8" max="8" width="10.5" style="2" customWidth="1"/>
    <col min="9" max="9" width="9.83203125" style="3" bestFit="1" customWidth="1"/>
    <col min="10" max="10" width="21.1640625" style="1" bestFit="1" customWidth="1"/>
    <col min="11" max="11" width="11.1640625" style="2" customWidth="1"/>
    <col min="12" max="12" width="7" style="21" bestFit="1" customWidth="1"/>
    <col min="13" max="13" width="8.33203125" style="2" bestFit="1" customWidth="1"/>
    <col min="14" max="16" width="10.5" style="2" customWidth="1"/>
    <col min="17" max="17" width="10.5" style="3" customWidth="1"/>
    <col min="18" max="18" width="11.83203125" style="3" customWidth="1"/>
    <col min="19" max="19" width="12.6640625" style="3" customWidth="1"/>
    <col min="20" max="20" width="12" style="3" customWidth="1"/>
    <col min="21" max="16384" width="10.83203125" style="1"/>
  </cols>
  <sheetData>
    <row r="1" spans="1:20" ht="45">
      <c r="A1" s="5" t="s">
        <v>0</v>
      </c>
      <c r="B1" s="5" t="s">
        <v>2</v>
      </c>
      <c r="C1" s="5" t="s">
        <v>1</v>
      </c>
      <c r="D1" s="5" t="s">
        <v>56</v>
      </c>
      <c r="E1" s="5" t="s">
        <v>11</v>
      </c>
      <c r="F1" s="5" t="s">
        <v>12</v>
      </c>
      <c r="G1" s="5" t="s">
        <v>13</v>
      </c>
      <c r="H1" s="66" t="s">
        <v>226</v>
      </c>
      <c r="I1" s="7" t="s">
        <v>3</v>
      </c>
      <c r="J1" s="5" t="s">
        <v>51</v>
      </c>
      <c r="K1" s="8" t="s">
        <v>71</v>
      </c>
      <c r="L1" s="17" t="s">
        <v>73</v>
      </c>
      <c r="M1" s="6" t="s">
        <v>55</v>
      </c>
      <c r="N1" s="47" t="s">
        <v>120</v>
      </c>
      <c r="O1" s="47" t="s">
        <v>121</v>
      </c>
      <c r="P1" s="47" t="s">
        <v>122</v>
      </c>
      <c r="Q1" s="7" t="s">
        <v>3</v>
      </c>
      <c r="R1" s="9" t="s">
        <v>70</v>
      </c>
      <c r="S1" s="23" t="s">
        <v>74</v>
      </c>
      <c r="T1" s="68" t="s">
        <v>231</v>
      </c>
    </row>
    <row r="2" spans="1:20" ht="30" customHeight="1">
      <c r="A2" s="64" t="s">
        <v>4</v>
      </c>
      <c r="B2" s="63" t="s">
        <v>216</v>
      </c>
      <c r="C2" s="64" t="s">
        <v>217</v>
      </c>
      <c r="D2" s="64" t="s">
        <v>218</v>
      </c>
      <c r="E2" s="64" t="s">
        <v>10</v>
      </c>
      <c r="F2" s="64" t="s">
        <v>112</v>
      </c>
      <c r="G2" s="56" t="s">
        <v>16</v>
      </c>
      <c r="H2" s="6">
        <f t="shared" ref="H2:H10" si="0">M2*L2</f>
        <v>1033.3399999999999</v>
      </c>
      <c r="I2" s="7"/>
      <c r="J2" s="64" t="s">
        <v>219</v>
      </c>
      <c r="K2" s="6">
        <v>93.94</v>
      </c>
      <c r="L2" s="18">
        <v>11</v>
      </c>
      <c r="M2" s="6">
        <f>K2</f>
        <v>93.94</v>
      </c>
      <c r="N2" s="6">
        <v>109.7</v>
      </c>
      <c r="O2" s="6">
        <f>N2</f>
        <v>109.7</v>
      </c>
      <c r="P2" s="6">
        <f t="shared" ref="P2:P10" si="1">L2*O2</f>
        <v>1206.7</v>
      </c>
      <c r="Q2" s="7"/>
      <c r="R2" s="7">
        <f t="shared" ref="R2:R11" si="2">(P2-H2)/H2</f>
        <v>0.16776665956993839</v>
      </c>
      <c r="S2" s="7"/>
      <c r="T2" s="7">
        <v>1.1121408711770156E-2</v>
      </c>
    </row>
    <row r="3" spans="1:20">
      <c r="A3" s="56" t="s">
        <v>4</v>
      </c>
      <c r="B3" s="63" t="s">
        <v>207</v>
      </c>
      <c r="C3" s="63" t="s">
        <v>208</v>
      </c>
      <c r="D3" s="64" t="s">
        <v>209</v>
      </c>
      <c r="E3" s="64" t="s">
        <v>10</v>
      </c>
      <c r="F3" s="64" t="s">
        <v>15</v>
      </c>
      <c r="G3" s="64" t="s">
        <v>16</v>
      </c>
      <c r="H3" s="6">
        <f t="shared" si="0"/>
        <v>1014.7500000000001</v>
      </c>
      <c r="I3" s="7">
        <f>(H2+H3)/H11</f>
        <v>0.22135271582297517</v>
      </c>
      <c r="J3" s="64" t="s">
        <v>210</v>
      </c>
      <c r="K3" s="6">
        <v>67.650000000000006</v>
      </c>
      <c r="L3" s="18">
        <v>15</v>
      </c>
      <c r="M3" s="6">
        <f>K3</f>
        <v>67.650000000000006</v>
      </c>
      <c r="N3" s="6">
        <v>70.84</v>
      </c>
      <c r="O3" s="6">
        <f>N3</f>
        <v>70.84</v>
      </c>
      <c r="P3" s="6">
        <f t="shared" si="1"/>
        <v>1062.6000000000001</v>
      </c>
      <c r="Q3" s="7"/>
      <c r="R3" s="7">
        <f t="shared" si="2"/>
        <v>4.7154471544715464E-2</v>
      </c>
      <c r="S3" s="7"/>
      <c r="T3" s="7">
        <v>4.7058823529411764E-2</v>
      </c>
    </row>
    <row r="4" spans="1:20">
      <c r="A4" s="62" t="s">
        <v>119</v>
      </c>
      <c r="B4" s="62" t="s">
        <v>203</v>
      </c>
      <c r="C4" s="62" t="s">
        <v>202</v>
      </c>
      <c r="D4" s="69" t="s">
        <v>230</v>
      </c>
      <c r="E4" s="62" t="s">
        <v>10</v>
      </c>
      <c r="F4" s="62" t="s">
        <v>34</v>
      </c>
      <c r="G4" s="62" t="s">
        <v>117</v>
      </c>
      <c r="H4" s="6">
        <f t="shared" si="0"/>
        <v>1024.740288</v>
      </c>
      <c r="I4" s="7">
        <f>(H4)/H11</f>
        <v>0.11075150299157639</v>
      </c>
      <c r="J4" s="64" t="s">
        <v>224</v>
      </c>
      <c r="K4" s="6">
        <v>41.47</v>
      </c>
      <c r="L4" s="18">
        <v>22</v>
      </c>
      <c r="M4" s="6">
        <f>K4*1.1232</f>
        <v>46.579104000000001</v>
      </c>
      <c r="N4" s="6">
        <v>47.844999999999999</v>
      </c>
      <c r="O4" s="6">
        <f>N4*B18</f>
        <v>55.457139499999997</v>
      </c>
      <c r="P4" s="6">
        <f t="shared" si="1"/>
        <v>1220.057069</v>
      </c>
      <c r="Q4" s="7"/>
      <c r="R4" s="7">
        <f t="shared" si="2"/>
        <v>0.19060125115330687</v>
      </c>
      <c r="S4" s="7"/>
      <c r="T4" s="7">
        <v>2.2703862660944204E-2</v>
      </c>
    </row>
    <row r="5" spans="1:20">
      <c r="A5" s="56" t="s">
        <v>119</v>
      </c>
      <c r="B5" s="62" t="s">
        <v>198</v>
      </c>
      <c r="C5" s="62" t="s">
        <v>199</v>
      </c>
      <c r="D5" s="62" t="s">
        <v>200</v>
      </c>
      <c r="E5" s="56" t="s">
        <v>20</v>
      </c>
      <c r="F5" s="56" t="s">
        <v>21</v>
      </c>
      <c r="G5" s="56" t="s">
        <v>22</v>
      </c>
      <c r="H5" s="6">
        <f t="shared" si="0"/>
        <v>1045.1644920000001</v>
      </c>
      <c r="I5" s="7">
        <f>H5/H11</f>
        <v>0.11295890258042381</v>
      </c>
      <c r="J5" s="62" t="s">
        <v>201</v>
      </c>
      <c r="K5" s="6">
        <v>66.39</v>
      </c>
      <c r="L5" s="18">
        <v>18</v>
      </c>
      <c r="M5" s="6">
        <f>K5*0.8746</f>
        <v>58.064694000000003</v>
      </c>
      <c r="N5" s="6">
        <v>80.400000000000006</v>
      </c>
      <c r="O5" s="6">
        <f>N5*B17</f>
        <v>72.963000000000008</v>
      </c>
      <c r="P5" s="6">
        <f t="shared" si="1"/>
        <v>1313.3340000000001</v>
      </c>
      <c r="Q5" s="7"/>
      <c r="R5" s="7">
        <f t="shared" si="2"/>
        <v>0.25658115067307502</v>
      </c>
      <c r="S5" s="7"/>
      <c r="T5" s="7">
        <v>1.9531739075998499E-2</v>
      </c>
    </row>
    <row r="6" spans="1:20">
      <c r="A6" s="56" t="s">
        <v>165</v>
      </c>
      <c r="B6" s="64" t="s">
        <v>212</v>
      </c>
      <c r="C6" s="64" t="s">
        <v>213</v>
      </c>
      <c r="D6" s="64" t="s">
        <v>214</v>
      </c>
      <c r="E6" s="64" t="s">
        <v>10</v>
      </c>
      <c r="F6" s="64" t="s">
        <v>112</v>
      </c>
      <c r="G6" s="64" t="s">
        <v>16</v>
      </c>
      <c r="H6" s="6">
        <f t="shared" si="0"/>
        <v>1020.6</v>
      </c>
      <c r="I6" s="7">
        <f>H6/H11</f>
        <v>0.1103040304717705</v>
      </c>
      <c r="J6" s="64" t="s">
        <v>215</v>
      </c>
      <c r="K6" s="6">
        <v>255.15</v>
      </c>
      <c r="L6" s="18">
        <v>4</v>
      </c>
      <c r="M6" s="6">
        <f>K6</f>
        <v>255.15</v>
      </c>
      <c r="N6" s="6">
        <v>405</v>
      </c>
      <c r="O6" s="6">
        <f>N6</f>
        <v>405</v>
      </c>
      <c r="P6" s="6">
        <f t="shared" si="1"/>
        <v>1620</v>
      </c>
      <c r="Q6" s="7"/>
      <c r="R6" s="7">
        <f t="shared" si="2"/>
        <v>0.58730158730158721</v>
      </c>
      <c r="S6" s="7"/>
      <c r="T6" s="7">
        <v>1.5684224284407265E-2</v>
      </c>
    </row>
    <row r="7" spans="1:20" ht="30" customHeight="1">
      <c r="A7" s="56" t="s">
        <v>26</v>
      </c>
      <c r="B7" s="61" t="s">
        <v>197</v>
      </c>
      <c r="C7" s="62" t="s">
        <v>140</v>
      </c>
      <c r="D7" s="62" t="s">
        <v>146</v>
      </c>
      <c r="E7" s="62" t="s">
        <v>10</v>
      </c>
      <c r="F7" s="62" t="s">
        <v>15</v>
      </c>
      <c r="G7" s="62" t="s">
        <v>16</v>
      </c>
      <c r="H7" s="6">
        <f t="shared" si="0"/>
        <v>1027</v>
      </c>
      <c r="I7" s="7"/>
      <c r="J7" s="64" t="s">
        <v>225</v>
      </c>
      <c r="K7" s="6">
        <v>513.5</v>
      </c>
      <c r="L7" s="18">
        <v>2</v>
      </c>
      <c r="M7" s="6">
        <f>K7</f>
        <v>513.5</v>
      </c>
      <c r="N7" s="6">
        <f>'180302_langfr_Geldanlage'!N7</f>
        <v>715.5</v>
      </c>
      <c r="O7" s="6">
        <f>N7</f>
        <v>715.5</v>
      </c>
      <c r="P7" s="6">
        <f t="shared" si="1"/>
        <v>1431</v>
      </c>
      <c r="Q7" s="7"/>
      <c r="R7" s="7">
        <f t="shared" si="2"/>
        <v>0.39337877312560859</v>
      </c>
      <c r="S7" s="7"/>
      <c r="T7" s="7">
        <v>1.391941391941392E-2</v>
      </c>
    </row>
    <row r="8" spans="1:20" ht="30">
      <c r="A8" s="56" t="s">
        <v>26</v>
      </c>
      <c r="B8" s="61" t="s">
        <v>194</v>
      </c>
      <c r="C8" s="62" t="s">
        <v>195</v>
      </c>
      <c r="D8" s="62" t="s">
        <v>196</v>
      </c>
      <c r="E8" s="56" t="s">
        <v>10</v>
      </c>
      <c r="F8" s="62" t="s">
        <v>89</v>
      </c>
      <c r="G8" s="62" t="s">
        <v>90</v>
      </c>
      <c r="H8" s="6">
        <f t="shared" si="0"/>
        <v>1049.1519000000001</v>
      </c>
      <c r="I8" s="7">
        <f>(H7+H8)/H11</f>
        <v>0.22438557950384497</v>
      </c>
      <c r="J8" s="64" t="s">
        <v>228</v>
      </c>
      <c r="K8" s="6">
        <v>198.5</v>
      </c>
      <c r="L8" s="18">
        <v>6</v>
      </c>
      <c r="M8" s="6">
        <f>K8*0.8809</f>
        <v>174.85865000000001</v>
      </c>
      <c r="N8" s="6">
        <v>245.9</v>
      </c>
      <c r="O8" s="6">
        <f>N8*B19</f>
        <v>223.57228000000001</v>
      </c>
      <c r="P8" s="6">
        <f t="shared" si="1"/>
        <v>1341.4336800000001</v>
      </c>
      <c r="Q8" s="7"/>
      <c r="R8" s="7">
        <f t="shared" si="2"/>
        <v>0.27858862000821805</v>
      </c>
      <c r="S8" s="7"/>
      <c r="T8" s="7">
        <v>1.658374792703151E-2</v>
      </c>
    </row>
    <row r="9" spans="1:20">
      <c r="A9" s="62" t="s">
        <v>46</v>
      </c>
      <c r="B9" s="61" t="s">
        <v>204</v>
      </c>
      <c r="C9" s="62" t="s">
        <v>205</v>
      </c>
      <c r="D9" s="62" t="s">
        <v>206</v>
      </c>
      <c r="E9" s="62" t="s">
        <v>20</v>
      </c>
      <c r="F9" s="62" t="s">
        <v>21</v>
      </c>
      <c r="G9" s="56" t="s">
        <v>22</v>
      </c>
      <c r="H9" s="6">
        <f t="shared" si="0"/>
        <v>1085.3436160000001</v>
      </c>
      <c r="I9" s="7">
        <f>(H9)/H11</f>
        <v>0.11730136712875326</v>
      </c>
      <c r="J9" s="64" t="s">
        <v>229</v>
      </c>
      <c r="K9" s="6">
        <v>177.28</v>
      </c>
      <c r="L9" s="18">
        <v>7</v>
      </c>
      <c r="M9" s="6">
        <f>K9*0.8746</f>
        <v>155.04908800000001</v>
      </c>
      <c r="N9" s="6">
        <v>255.3</v>
      </c>
      <c r="O9" s="6">
        <f>N9*B17</f>
        <v>231.68475000000001</v>
      </c>
      <c r="P9" s="6">
        <f t="shared" si="1"/>
        <v>1621.7932500000002</v>
      </c>
      <c r="Q9" s="7"/>
      <c r="R9" s="7">
        <f t="shared" si="2"/>
        <v>0.49426709301250454</v>
      </c>
      <c r="S9" s="7"/>
      <c r="T9" s="7">
        <v>8.8375518430946921E-3</v>
      </c>
    </row>
    <row r="10" spans="1:20">
      <c r="A10" s="56" t="s">
        <v>38</v>
      </c>
      <c r="B10" s="63" t="s">
        <v>220</v>
      </c>
      <c r="C10" s="64" t="s">
        <v>211</v>
      </c>
      <c r="D10" s="64" t="s">
        <v>221</v>
      </c>
      <c r="E10" s="64" t="s">
        <v>20</v>
      </c>
      <c r="F10" s="64" t="s">
        <v>21</v>
      </c>
      <c r="G10" s="56" t="s">
        <v>22</v>
      </c>
      <c r="H10" s="6">
        <f t="shared" si="0"/>
        <v>952.5181140000002</v>
      </c>
      <c r="I10" s="7">
        <f>H10/H11</f>
        <v>0.10294590150065587</v>
      </c>
      <c r="J10" s="64" t="s">
        <v>222</v>
      </c>
      <c r="K10" s="6">
        <v>121.01</v>
      </c>
      <c r="L10" s="18">
        <v>9</v>
      </c>
      <c r="M10" s="6">
        <f>K10*0.8746</f>
        <v>105.83534600000002</v>
      </c>
      <c r="N10" s="6">
        <v>161.11000000000001</v>
      </c>
      <c r="O10" s="6">
        <f>N10*B17</f>
        <v>146.207325</v>
      </c>
      <c r="P10" s="6">
        <f t="shared" si="1"/>
        <v>1315.8659250000001</v>
      </c>
      <c r="Q10" s="7"/>
      <c r="R10" s="7">
        <f t="shared" si="2"/>
        <v>0.38146026375725156</v>
      </c>
      <c r="S10" s="7"/>
      <c r="T10" s="7">
        <v>0</v>
      </c>
    </row>
    <row r="11" spans="1:20" s="4" customFormat="1">
      <c r="A11" s="10"/>
      <c r="B11" s="10"/>
      <c r="C11" s="10"/>
      <c r="D11" s="10"/>
      <c r="E11" s="10"/>
      <c r="F11" s="10"/>
      <c r="G11" s="10"/>
      <c r="H11" s="11">
        <f>SUM(H2:H10)</f>
        <v>9252.6084100000007</v>
      </c>
      <c r="I11" s="12">
        <f>SUM(I2:I10)</f>
        <v>0.99999999999999989</v>
      </c>
      <c r="J11" s="10"/>
      <c r="K11" s="11"/>
      <c r="L11" s="19"/>
      <c r="M11" s="11"/>
      <c r="N11" s="11"/>
      <c r="O11" s="11"/>
      <c r="P11" s="11">
        <f>SUM(P2:P10)</f>
        <v>12132.783924000001</v>
      </c>
      <c r="Q11" s="12"/>
      <c r="R11" s="12">
        <f t="shared" si="2"/>
        <v>0.31128254718822584</v>
      </c>
      <c r="S11" s="12">
        <v>0.31130000000000002</v>
      </c>
      <c r="T11" s="12">
        <f>AVERAGE(T2:T10)</f>
        <v>1.7271196883563558E-2</v>
      </c>
    </row>
    <row r="13" spans="1:20">
      <c r="A13" s="13" t="s">
        <v>72</v>
      </c>
      <c r="B13" s="14"/>
      <c r="C13" s="14"/>
      <c r="D13" s="14"/>
      <c r="E13" s="14"/>
      <c r="F13" s="14"/>
      <c r="G13" s="14"/>
      <c r="H13" s="15"/>
      <c r="I13" s="16"/>
      <c r="J13" s="65" t="s">
        <v>223</v>
      </c>
      <c r="K13" s="15">
        <v>2009.6</v>
      </c>
      <c r="L13" s="20"/>
      <c r="M13" s="15"/>
      <c r="N13" s="15">
        <f>'170830_langfr_Geldanlage'!N14</f>
        <v>2268.8200000000002</v>
      </c>
      <c r="O13" s="15"/>
      <c r="P13" s="15"/>
      <c r="Q13" s="16"/>
      <c r="R13" s="16">
        <f>(N13-K13)/K13</f>
        <v>0.12899084394904473</v>
      </c>
      <c r="S13" s="16">
        <v>0.129</v>
      </c>
    </row>
    <row r="16" spans="1:20">
      <c r="A16" s="35" t="s">
        <v>116</v>
      </c>
      <c r="B16" s="35"/>
    </row>
    <row r="17" spans="1:3">
      <c r="A17" s="35" t="s">
        <v>22</v>
      </c>
      <c r="B17" s="35">
        <f>'170830_langfr_Geldanlage'!B18</f>
        <v>0.90749999999999997</v>
      </c>
    </row>
    <row r="18" spans="1:3">
      <c r="A18" s="35" t="s">
        <v>118</v>
      </c>
      <c r="B18" s="1">
        <f>'170830_langfr_Geldanlage'!B19</f>
        <v>1.1591</v>
      </c>
    </row>
    <row r="19" spans="1:3">
      <c r="A19" s="59" t="s">
        <v>90</v>
      </c>
      <c r="B19" s="35">
        <f>'171004_langfr_Geldanlage'!B18</f>
        <v>0.90920000000000001</v>
      </c>
    </row>
    <row r="20" spans="1:3">
      <c r="A20" s="59" t="s">
        <v>50</v>
      </c>
      <c r="B20" s="1">
        <f>'170830_langfr_Geldanlage'!B22</f>
        <v>9.35E-2</v>
      </c>
    </row>
    <row r="23" spans="1:3">
      <c r="A23" s="48" t="s">
        <v>123</v>
      </c>
      <c r="B23" s="49">
        <f>'170830_langfr_Geldanlage'!B25</f>
        <v>43779</v>
      </c>
      <c r="C23" s="67" t="s">
        <v>227</v>
      </c>
    </row>
    <row r="24" spans="1:3">
      <c r="A24" s="48" t="s">
        <v>124</v>
      </c>
      <c r="B24" s="2">
        <v>1</v>
      </c>
    </row>
  </sheetData>
  <pageMargins left="0.5" right="0.5" top="0.79000000000000015" bottom="0.79000000000000015" header="0.30000000000000004" footer="0.30000000000000004"/>
  <pageSetup paperSize="9" scale="48" orientation="landscape"/>
  <headerFooter>
    <oddHeader>&amp;C&amp;"Calibri,Standard"&amp;K000000Musterdepot per 02.03.2018</oddHead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170830_langfr_Geldanlage</vt:lpstr>
      <vt:lpstr>171004_langfr_Geldanlage</vt:lpstr>
      <vt:lpstr>180302_langfr_Geldanlage</vt:lpstr>
      <vt:lpstr>180817_langfr_Geldanlage</vt:lpstr>
      <vt:lpstr>181120_langfr_Geldanlage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Essing</dc:creator>
  <cp:lastModifiedBy>Uwe Essing</cp:lastModifiedBy>
  <dcterms:created xsi:type="dcterms:W3CDTF">2017-08-30T14:51:47Z</dcterms:created>
  <dcterms:modified xsi:type="dcterms:W3CDTF">2019-11-10T17:05:54Z</dcterms:modified>
</cp:coreProperties>
</file>