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autoCompressPictures="0"/>
  <bookViews>
    <workbookView xWindow="0" yWindow="0" windowWidth="51060" windowHeight="28060" activeTab="4"/>
  </bookViews>
  <sheets>
    <sheet name="170830_langfr_Geldanlage" sheetId="1" r:id="rId1"/>
    <sheet name="171004_langfr_Geldanlage" sheetId="2" r:id="rId2"/>
    <sheet name="180302_langfr_Geldanlage" sheetId="6" r:id="rId3"/>
    <sheet name="180817_langfr_Geldanlage" sheetId="7" r:id="rId4"/>
    <sheet name="181120_langfr_Geldanlage" sheetId="9" r:id="rId5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6" l="1"/>
  <c r="R14" i="1"/>
  <c r="T11" i="9"/>
  <c r="N7" i="9"/>
  <c r="T11" i="7"/>
  <c r="U12" i="6"/>
  <c r="U12" i="2"/>
  <c r="N13" i="9"/>
  <c r="M10" i="9"/>
  <c r="M9" i="9"/>
  <c r="M8" i="9"/>
  <c r="M5" i="9"/>
  <c r="M4" i="9"/>
  <c r="M2" i="9"/>
  <c r="H2" i="9"/>
  <c r="H10" i="9"/>
  <c r="H4" i="9"/>
  <c r="M7" i="9"/>
  <c r="H7" i="9"/>
  <c r="H8" i="9"/>
  <c r="H9" i="9"/>
  <c r="H5" i="9"/>
  <c r="M3" i="9"/>
  <c r="H3" i="9"/>
  <c r="M6" i="9"/>
  <c r="H6" i="9"/>
  <c r="H11" i="9"/>
  <c r="I10" i="9"/>
  <c r="O6" i="9"/>
  <c r="O3" i="9"/>
  <c r="I3" i="9"/>
  <c r="I9" i="9"/>
  <c r="B18" i="9"/>
  <c r="O4" i="9"/>
  <c r="I4" i="9"/>
  <c r="O7" i="9"/>
  <c r="B19" i="9"/>
  <c r="O8" i="9"/>
  <c r="B23" i="9"/>
  <c r="B20" i="9"/>
  <c r="B17" i="9"/>
  <c r="R13" i="9"/>
  <c r="O2" i="9"/>
  <c r="P2" i="9"/>
  <c r="P3" i="9"/>
  <c r="P4" i="9"/>
  <c r="O5" i="9"/>
  <c r="P5" i="9"/>
  <c r="P6" i="9"/>
  <c r="P7" i="9"/>
  <c r="P8" i="9"/>
  <c r="O9" i="9"/>
  <c r="P9" i="9"/>
  <c r="O10" i="9"/>
  <c r="P10" i="9"/>
  <c r="P11" i="9"/>
  <c r="R11" i="9"/>
  <c r="I5" i="9"/>
  <c r="I6" i="9"/>
  <c r="I8" i="9"/>
  <c r="I11" i="9"/>
  <c r="R10" i="9"/>
  <c r="R9" i="9"/>
  <c r="R8" i="9"/>
  <c r="R7" i="9"/>
  <c r="R6" i="9"/>
  <c r="R5" i="9"/>
  <c r="R4" i="9"/>
  <c r="R3" i="9"/>
  <c r="R2" i="9"/>
  <c r="B20" i="7"/>
  <c r="N13" i="7"/>
  <c r="M9" i="7"/>
  <c r="H9" i="7"/>
  <c r="M10" i="7"/>
  <c r="H10" i="7"/>
  <c r="M2" i="7"/>
  <c r="H2" i="7"/>
  <c r="M3" i="7"/>
  <c r="H3" i="7"/>
  <c r="M4" i="7"/>
  <c r="H4" i="7"/>
  <c r="M5" i="7"/>
  <c r="H5" i="7"/>
  <c r="M6" i="7"/>
  <c r="H6" i="7"/>
  <c r="M7" i="7"/>
  <c r="H7" i="7"/>
  <c r="M8" i="7"/>
  <c r="H8" i="7"/>
  <c r="H11" i="7"/>
  <c r="I10" i="7"/>
  <c r="I8" i="7"/>
  <c r="I6" i="7"/>
  <c r="I5" i="7"/>
  <c r="I4" i="7"/>
  <c r="I2" i="7"/>
  <c r="O8" i="7"/>
  <c r="B19" i="7"/>
  <c r="O4" i="7"/>
  <c r="B17" i="7"/>
  <c r="O3" i="7"/>
  <c r="O6" i="7"/>
  <c r="O7" i="7"/>
  <c r="C22" i="2"/>
  <c r="C23" i="7"/>
  <c r="B23" i="7"/>
  <c r="B18" i="7"/>
  <c r="R13" i="7"/>
  <c r="O2" i="7"/>
  <c r="P2" i="7"/>
  <c r="P3" i="7"/>
  <c r="P4" i="7"/>
  <c r="O5" i="7"/>
  <c r="P5" i="7"/>
  <c r="P6" i="7"/>
  <c r="P7" i="7"/>
  <c r="P8" i="7"/>
  <c r="O9" i="7"/>
  <c r="P9" i="7"/>
  <c r="O10" i="7"/>
  <c r="P10" i="7"/>
  <c r="P11" i="7"/>
  <c r="R11" i="7"/>
  <c r="I11" i="7"/>
  <c r="R10" i="7"/>
  <c r="R9" i="7"/>
  <c r="R8" i="7"/>
  <c r="R7" i="7"/>
  <c r="R6" i="7"/>
  <c r="R5" i="7"/>
  <c r="R4" i="7"/>
  <c r="R3" i="7"/>
  <c r="R2" i="7"/>
  <c r="C24" i="6"/>
  <c r="B21" i="6"/>
  <c r="B19" i="6"/>
  <c r="B18" i="6"/>
  <c r="B24" i="6"/>
  <c r="B22" i="2"/>
  <c r="N14" i="6"/>
  <c r="M11" i="6"/>
  <c r="M10" i="6"/>
  <c r="M8" i="6"/>
  <c r="M6" i="6"/>
  <c r="M2" i="6"/>
  <c r="H11" i="6"/>
  <c r="O11" i="6"/>
  <c r="H10" i="6"/>
  <c r="O9" i="6"/>
  <c r="M9" i="6"/>
  <c r="H9" i="6"/>
  <c r="T12" i="1"/>
  <c r="M7" i="6"/>
  <c r="O8" i="6"/>
  <c r="H8" i="6"/>
  <c r="H2" i="1"/>
  <c r="H3" i="1"/>
  <c r="M4" i="1"/>
  <c r="H4" i="1"/>
  <c r="H5" i="1"/>
  <c r="H6" i="1"/>
  <c r="H7" i="1"/>
  <c r="H8" i="1"/>
  <c r="H9" i="1"/>
  <c r="H10" i="1"/>
  <c r="H11" i="1"/>
  <c r="H12" i="1"/>
  <c r="O7" i="6"/>
  <c r="H7" i="6"/>
  <c r="O6" i="6"/>
  <c r="H6" i="6"/>
  <c r="O5" i="6"/>
  <c r="M5" i="6"/>
  <c r="M4" i="6"/>
  <c r="M3" i="6"/>
  <c r="H5" i="6"/>
  <c r="H4" i="6"/>
  <c r="H3" i="6"/>
  <c r="H2" i="6"/>
  <c r="O2" i="6"/>
  <c r="S14" i="6"/>
  <c r="P2" i="6"/>
  <c r="O3" i="6"/>
  <c r="P3" i="6"/>
  <c r="O4" i="6"/>
  <c r="P4" i="6"/>
  <c r="P5" i="6"/>
  <c r="P6" i="6"/>
  <c r="P7" i="6"/>
  <c r="P8" i="6"/>
  <c r="P9" i="6"/>
  <c r="O10" i="6"/>
  <c r="P10" i="6"/>
  <c r="P11" i="6"/>
  <c r="P12" i="6"/>
  <c r="H12" i="6"/>
  <c r="S12" i="6"/>
  <c r="I12" i="6"/>
  <c r="S11" i="6"/>
  <c r="S10" i="6"/>
  <c r="S9" i="6"/>
  <c r="S8" i="6"/>
  <c r="S7" i="6"/>
  <c r="S6" i="6"/>
  <c r="S5" i="6"/>
  <c r="S4" i="6"/>
  <c r="S3" i="6"/>
  <c r="S2" i="6"/>
  <c r="N14" i="2"/>
  <c r="B17" i="2"/>
  <c r="O7" i="1"/>
  <c r="P7" i="1"/>
  <c r="O8" i="1"/>
  <c r="P8" i="1"/>
  <c r="O9" i="1"/>
  <c r="P9" i="1"/>
  <c r="O10" i="1"/>
  <c r="P10" i="1"/>
  <c r="O5" i="1"/>
  <c r="P5" i="1"/>
  <c r="O6" i="1"/>
  <c r="P6" i="1"/>
  <c r="O11" i="1"/>
  <c r="P11" i="1"/>
  <c r="O2" i="1"/>
  <c r="P2" i="1"/>
  <c r="O3" i="1"/>
  <c r="P3" i="1"/>
  <c r="O4" i="1"/>
  <c r="P4" i="1"/>
  <c r="P12" i="1"/>
  <c r="R12" i="1"/>
  <c r="S14" i="2"/>
  <c r="O2" i="2"/>
  <c r="P2" i="2"/>
  <c r="O3" i="2"/>
  <c r="P3" i="2"/>
  <c r="O4" i="2"/>
  <c r="P4" i="2"/>
  <c r="O5" i="2"/>
  <c r="P5" i="2"/>
  <c r="O6" i="2"/>
  <c r="P6" i="2"/>
  <c r="O7" i="2"/>
  <c r="P7" i="2"/>
  <c r="O8" i="2"/>
  <c r="P8" i="2"/>
  <c r="O9" i="2"/>
  <c r="P9" i="2"/>
  <c r="O10" i="2"/>
  <c r="P10" i="2"/>
  <c r="O11" i="2"/>
  <c r="P11" i="2"/>
  <c r="P12" i="2"/>
  <c r="M2" i="2"/>
  <c r="H2" i="2"/>
  <c r="M3" i="2"/>
  <c r="H3" i="2"/>
  <c r="M4" i="2"/>
  <c r="H4" i="2"/>
  <c r="M5" i="2"/>
  <c r="H5" i="2"/>
  <c r="M6" i="2"/>
  <c r="H6" i="2"/>
  <c r="M7" i="2"/>
  <c r="H7" i="2"/>
  <c r="M8" i="2"/>
  <c r="H8" i="2"/>
  <c r="M9" i="2"/>
  <c r="H9" i="2"/>
  <c r="M10" i="2"/>
  <c r="H10" i="2"/>
  <c r="M11" i="2"/>
  <c r="H11" i="2"/>
  <c r="H12" i="2"/>
  <c r="S12" i="2"/>
  <c r="Q3" i="2"/>
  <c r="Q6" i="2"/>
  <c r="Q8" i="2"/>
  <c r="Q9" i="2"/>
  <c r="Q10" i="2"/>
  <c r="Q11" i="2"/>
  <c r="Q12" i="2"/>
  <c r="I3" i="2"/>
  <c r="I6" i="2"/>
  <c r="I8" i="2"/>
  <c r="I9" i="2"/>
  <c r="I10" i="2"/>
  <c r="I11" i="2"/>
  <c r="I12" i="2"/>
  <c r="S11" i="2"/>
  <c r="S10" i="2"/>
  <c r="S9" i="2"/>
  <c r="S8" i="2"/>
  <c r="S7" i="2"/>
  <c r="S6" i="2"/>
  <c r="S5" i="2"/>
  <c r="S4" i="2"/>
  <c r="S3" i="2"/>
  <c r="S2" i="2"/>
  <c r="R3" i="1"/>
  <c r="R4" i="1"/>
  <c r="R5" i="1"/>
  <c r="R6" i="1"/>
  <c r="R7" i="1"/>
  <c r="R8" i="1"/>
  <c r="R9" i="1"/>
  <c r="R10" i="1"/>
  <c r="R11" i="1"/>
  <c r="R2" i="1"/>
  <c r="Q3" i="1"/>
  <c r="I3" i="1"/>
  <c r="Q5" i="1"/>
  <c r="I5" i="1"/>
  <c r="Q7" i="1"/>
  <c r="I7" i="1"/>
  <c r="Q9" i="1"/>
  <c r="I9" i="1"/>
  <c r="I10" i="1"/>
  <c r="Q10" i="1"/>
  <c r="Q11" i="1"/>
  <c r="I11" i="1"/>
  <c r="I12" i="1"/>
</calcChain>
</file>

<file path=xl/sharedStrings.xml><?xml version="1.0" encoding="utf-8"?>
<sst xmlns="http://schemas.openxmlformats.org/spreadsheetml/2006/main" count="534" uniqueCount="234">
  <si>
    <t>Branche</t>
  </si>
  <si>
    <t>Unternehmen</t>
  </si>
  <si>
    <t>Branche Detail</t>
  </si>
  <si>
    <t>Anteil in %</t>
  </si>
  <si>
    <t>Gesundheit</t>
  </si>
  <si>
    <t>Dienstleister Klinikbetreiber</t>
  </si>
  <si>
    <t>Ramsay Health Care</t>
  </si>
  <si>
    <t>Australien</t>
  </si>
  <si>
    <t>Chemie Duft- und Geschmacksstoffe</t>
  </si>
  <si>
    <t>Symrise</t>
  </si>
  <si>
    <t>Europa</t>
  </si>
  <si>
    <t>Kontinent</t>
  </si>
  <si>
    <t>Land</t>
  </si>
  <si>
    <t>Währung</t>
  </si>
  <si>
    <t>AU$</t>
  </si>
  <si>
    <t>Deutschland</t>
  </si>
  <si>
    <t>€</t>
  </si>
  <si>
    <t>Konsum nicht zyklisch</t>
  </si>
  <si>
    <t>Drogerie Reinigung Hygiene industriell</t>
  </si>
  <si>
    <t>Ecolab</t>
  </si>
  <si>
    <t>Amerika</t>
  </si>
  <si>
    <t>USA</t>
  </si>
  <si>
    <t>US$</t>
  </si>
  <si>
    <t>Bekleidung Sport</t>
  </si>
  <si>
    <t>Nike</t>
  </si>
  <si>
    <t>Grundnahrungsmittel</t>
  </si>
  <si>
    <t>Industrie</t>
  </si>
  <si>
    <t xml:space="preserve">Zulieferer Verkehr </t>
  </si>
  <si>
    <t>Shimano</t>
  </si>
  <si>
    <t>Asien</t>
  </si>
  <si>
    <t>Japan</t>
  </si>
  <si>
    <t>Yen</t>
  </si>
  <si>
    <t>Zulieferer Verpackungen</t>
  </si>
  <si>
    <t>Bunzl</t>
  </si>
  <si>
    <t>England</t>
  </si>
  <si>
    <t>Pfund</t>
  </si>
  <si>
    <t>Tabak</t>
  </si>
  <si>
    <t>Altria</t>
  </si>
  <si>
    <t>Technologie</t>
  </si>
  <si>
    <t>IT-Denstleister</t>
  </si>
  <si>
    <t>CGI</t>
  </si>
  <si>
    <t>Kanada</t>
  </si>
  <si>
    <t>CA$</t>
  </si>
  <si>
    <t>Hardware Halbleiter</t>
  </si>
  <si>
    <t>Taiwan Semiconductor</t>
  </si>
  <si>
    <t>Taiwan</t>
  </si>
  <si>
    <t>Sonstige</t>
  </si>
  <si>
    <t>Dienstleister Outsourcing Inkasso</t>
  </si>
  <si>
    <t>Intrum Justitia</t>
  </si>
  <si>
    <t>Schweden</t>
  </si>
  <si>
    <t>SEK</t>
  </si>
  <si>
    <t>Trend</t>
  </si>
  <si>
    <t>200 T. unterschritten</t>
  </si>
  <si>
    <t>abwärts stark</t>
  </si>
  <si>
    <t xml:space="preserve">abwärts leicht </t>
  </si>
  <si>
    <t>Kurs €</t>
  </si>
  <si>
    <t>WKN</t>
  </si>
  <si>
    <t>A0ET3E GB</t>
  </si>
  <si>
    <t>874338 AU</t>
  </si>
  <si>
    <t>SYM999 DE</t>
  </si>
  <si>
    <t>abwärts mittel</t>
  </si>
  <si>
    <t>865682 JP</t>
  </si>
  <si>
    <t>912483 CA</t>
  </si>
  <si>
    <t>909800 TW</t>
  </si>
  <si>
    <t>ATH</t>
  </si>
  <si>
    <t>854545 US</t>
  </si>
  <si>
    <t>aufwärts leicht</t>
  </si>
  <si>
    <t>866993 US</t>
  </si>
  <si>
    <t>200417 US</t>
  </si>
  <si>
    <t>633824 SE</t>
  </si>
  <si>
    <t>Performance in €</t>
  </si>
  <si>
    <t>Kurs Heimat-währung</t>
  </si>
  <si>
    <t>MSCI World Index</t>
  </si>
  <si>
    <t>Menge</t>
  </si>
  <si>
    <t>Performance effektiv p.a.</t>
  </si>
  <si>
    <t>aufwärts mittel</t>
  </si>
  <si>
    <t>knapp unter ATH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</si>
  <si>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30.08.2017</t>
    </r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</si>
  <si>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04.10.2017</t>
    </r>
  </si>
  <si>
    <t>Medizintechnik Bedarfsartikel</t>
  </si>
  <si>
    <t>Coloplast</t>
  </si>
  <si>
    <t>A1KAGC DK</t>
  </si>
  <si>
    <t>Dänemark</t>
  </si>
  <si>
    <t>DKK</t>
  </si>
  <si>
    <t>Paul Hartmann</t>
  </si>
  <si>
    <t>747404 DE</t>
  </si>
  <si>
    <t xml:space="preserve">Zulieferer Sanitär </t>
  </si>
  <si>
    <t>Geberit</t>
  </si>
  <si>
    <t>A0MQWG CH</t>
  </si>
  <si>
    <t>Schweiz</t>
  </si>
  <si>
    <t>CHF</t>
  </si>
  <si>
    <t>200 T.</t>
  </si>
  <si>
    <t>Holding Immobilien Hotels Bau Einzelhandel</t>
  </si>
  <si>
    <t>Jardine Matheson</t>
  </si>
  <si>
    <t>869042 HK</t>
  </si>
  <si>
    <t>Hong Kong</t>
  </si>
  <si>
    <t xml:space="preserve">Zulieferer Verkehr Flugzeuge Komponenten </t>
  </si>
  <si>
    <t>TransDigM</t>
  </si>
  <si>
    <t>A0JEP3 US</t>
  </si>
  <si>
    <t>Handel Online Versand etc.</t>
  </si>
  <si>
    <t>Amazon</t>
  </si>
  <si>
    <t>906866 US</t>
  </si>
  <si>
    <t xml:space="preserve">Drogerie Reinigung Pflege </t>
  </si>
  <si>
    <t>Church &amp; Dwight</t>
  </si>
  <si>
    <t>864371 US</t>
  </si>
  <si>
    <t>Internet Suchmaschine Online Spiele Musikstreaming</t>
  </si>
  <si>
    <t>NetEase</t>
  </si>
  <si>
    <t>501822 CN</t>
  </si>
  <si>
    <t>China</t>
  </si>
  <si>
    <t>Dienstleister Catering Gebäudemanagement</t>
  </si>
  <si>
    <t>Sodexo</t>
  </si>
  <si>
    <t>870935 FR</t>
  </si>
  <si>
    <t>Frankreich</t>
  </si>
  <si>
    <t>Energie &amp; Rohstoffe</t>
  </si>
  <si>
    <t>Energieversorger Erdgas Strom erneuerbare Dienstleister Energieb.</t>
  </si>
  <si>
    <t>887836 US</t>
  </si>
  <si>
    <t>Währungen</t>
  </si>
  <si>
    <t>GBP</t>
  </si>
  <si>
    <t>GBP (Britisches Pfund)</t>
  </si>
  <si>
    <t>Basiskonsum</t>
  </si>
  <si>
    <t>Kurs aktuell</t>
  </si>
  <si>
    <t>Kurs in €  aktuell</t>
  </si>
  <si>
    <t>Wert aktuell</t>
  </si>
  <si>
    <t>Stand</t>
  </si>
  <si>
    <t>Dauer in Jahren</t>
  </si>
  <si>
    <t>Aufwärts ca. 3,4%</t>
  </si>
  <si>
    <t>Energie</t>
  </si>
  <si>
    <t>Versorger Betreiber Pipeline System</t>
  </si>
  <si>
    <t>Enbridge</t>
  </si>
  <si>
    <t>885427 CA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</si>
  <si>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02.03.2018</t>
    </r>
  </si>
  <si>
    <t>Finanzen</t>
  </si>
  <si>
    <t>Bank</t>
  </si>
  <si>
    <t>HDFC Bank</t>
  </si>
  <si>
    <t>694482 IND</t>
  </si>
  <si>
    <t>Indien</t>
  </si>
  <si>
    <t>knapp unter 200-T.</t>
  </si>
  <si>
    <t>Drogerie Reinigung Klebstoffe</t>
  </si>
  <si>
    <t>Henkel</t>
  </si>
  <si>
    <t>604843 DE</t>
  </si>
  <si>
    <t>Rational</t>
  </si>
  <si>
    <t>Cisco</t>
  </si>
  <si>
    <t>Constellation Brands</t>
  </si>
  <si>
    <t>871918 US</t>
  </si>
  <si>
    <t>Getränke Wein Bier Spirituosen</t>
  </si>
  <si>
    <t>Maschinenbau Küchen Groß- und Gewerbe</t>
  </si>
  <si>
    <t>701080 DE</t>
  </si>
  <si>
    <t>abwärts 5% unter 200-T.</t>
  </si>
  <si>
    <t>Großbritanien</t>
  </si>
  <si>
    <t>aktuell</t>
  </si>
  <si>
    <t>Dienstleister Analyseverfahren Labor</t>
  </si>
  <si>
    <t>Eurofins Scientific</t>
  </si>
  <si>
    <t>910251 FR</t>
  </si>
  <si>
    <t>Hardware Netzwerkausrüster</t>
  </si>
  <si>
    <t>878841 US</t>
  </si>
  <si>
    <t>aufwärts stark</t>
  </si>
  <si>
    <t>Cerner</t>
  </si>
  <si>
    <t>Software - Healthcare-Informationstechnologie-Lösungen</t>
  </si>
  <si>
    <t>Aufwärts - 2,36%</t>
  </si>
  <si>
    <t>Grenke</t>
  </si>
  <si>
    <r>
      <t>892807</t>
    </r>
    <r>
      <rPr>
        <sz val="12"/>
        <color theme="1"/>
        <rFont val="Calibri"/>
        <family val="2"/>
        <charset val="204"/>
        <scheme val="minor"/>
      </rPr>
      <t xml:space="preserve"> US</t>
    </r>
  </si>
  <si>
    <t>A161N3 DE</t>
  </si>
  <si>
    <t>3M</t>
  </si>
  <si>
    <t>851745 US</t>
  </si>
  <si>
    <t>Abwärts - -8,43%</t>
  </si>
  <si>
    <t>Konsum</t>
  </si>
  <si>
    <t>Alibaba</t>
  </si>
  <si>
    <t>A117ME CN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</si>
  <si>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17.08.2018</t>
    </r>
  </si>
  <si>
    <t>Abwärts - -8,58%</t>
  </si>
  <si>
    <t>Internet - Neue Technologien Soziale Netzwerke Online Spiele</t>
  </si>
  <si>
    <t>Handel - Online Handelsplattform</t>
  </si>
  <si>
    <t>Holding - Medizin Sicherh. Elektron. Telekommunik. Industrie Büroart.</t>
  </si>
  <si>
    <t>Finanzdienstleister - Leasing Miete Services Remarketing IT-Equipment Bürokommunikation</t>
  </si>
  <si>
    <t>Tencent Holdings</t>
  </si>
  <si>
    <t>A1138D KY</t>
  </si>
  <si>
    <t>Abwärts - -22,56%</t>
  </si>
  <si>
    <t>Dienstleister - Hausverwaltung Wäscherei Catering Altenpflege</t>
  </si>
  <si>
    <t>Healthcare Service Group</t>
  </si>
  <si>
    <t>870932 US</t>
  </si>
  <si>
    <t>Abwärts - -10,12%</t>
  </si>
  <si>
    <t>Biotechnologie - Beteiligungsgesellschaft</t>
  </si>
  <si>
    <t>BB Biotech</t>
  </si>
  <si>
    <t>A0NFN3 CH</t>
  </si>
  <si>
    <t>Tyson Foods</t>
  </si>
  <si>
    <t>Lebensmittel - Hersteller Fleisch- Fertigprodukte</t>
  </si>
  <si>
    <t>870625 US</t>
  </si>
  <si>
    <t>Abwärts - -19,00%</t>
  </si>
  <si>
    <t>Industrie - Zulieferer Bau Sicherheitst. Sicherheitssyst. Schließlösungen</t>
  </si>
  <si>
    <t>Assa Abloy</t>
  </si>
  <si>
    <t>A14TVM SE</t>
  </si>
  <si>
    <t>Aufwärts - 1,83%</t>
  </si>
  <si>
    <t>Aufwärts - 0,91%</t>
  </si>
  <si>
    <t>200 Tage Linie - -0,86%</t>
  </si>
  <si>
    <r>
      <t xml:space="preserve">Industrie - </t>
    </r>
    <r>
      <rPr>
        <sz val="12"/>
        <color theme="1"/>
        <rFont val="Calibri"/>
        <family val="2"/>
        <charset val="204"/>
        <scheme val="minor"/>
      </rPr>
      <t xml:space="preserve">Maschinen- und Anlagenbau Rolltreppen Aufzüge </t>
    </r>
  </si>
  <si>
    <t>Schindler</t>
  </si>
  <si>
    <t>A0JEHV CH</t>
  </si>
  <si>
    <t>Industrie - Maschinen- und Anlagenbau Küchen für Großgewerbe</t>
  </si>
  <si>
    <r>
      <t xml:space="preserve">Lebensmittel - Hersteller </t>
    </r>
    <r>
      <rPr>
        <sz val="12"/>
        <color theme="1"/>
        <rFont val="Calibri"/>
        <family val="2"/>
        <charset val="204"/>
        <scheme val="minor"/>
      </rPr>
      <t>Allgemein</t>
    </r>
  </si>
  <si>
    <t>Sysco</t>
  </si>
  <si>
    <t>859121 US</t>
  </si>
  <si>
    <r>
      <t>200 Tage Linie - -0,</t>
    </r>
    <r>
      <rPr>
        <sz val="12"/>
        <color theme="1"/>
        <rFont val="Calibri"/>
        <family val="2"/>
        <charset val="204"/>
        <scheme val="minor"/>
      </rPr>
      <t>46</t>
    </r>
    <r>
      <rPr>
        <sz val="12"/>
        <color theme="1"/>
        <rFont val="Calibri"/>
        <family val="2"/>
        <charset val="204"/>
        <scheme val="minor"/>
      </rPr>
      <t>%</t>
    </r>
  </si>
  <si>
    <t>Intercontinental Hotels Group</t>
  </si>
  <si>
    <t>Gastronomie Hotelgewerbe</t>
  </si>
  <si>
    <t>Dienstleister Finanzen Ratingagentur</t>
  </si>
  <si>
    <t>S&amp;P Global</t>
  </si>
  <si>
    <t>A2AHZ7 US</t>
  </si>
  <si>
    <t>Chemie - Industrie Agrar Bau Öl</t>
  </si>
  <si>
    <t>BASF</t>
  </si>
  <si>
    <t>BASF11 DE</t>
  </si>
  <si>
    <r>
      <t>Abwärts - -1</t>
    </r>
    <r>
      <rPr>
        <sz val="12"/>
        <color theme="1"/>
        <rFont val="Calibri"/>
        <family val="2"/>
        <charset val="204"/>
        <scheme val="minor"/>
      </rPr>
      <t>6</t>
    </r>
    <r>
      <rPr>
        <sz val="12"/>
        <color theme="1"/>
        <rFont val="Calibri"/>
        <family val="2"/>
        <charset val="204"/>
        <scheme val="minor"/>
      </rPr>
      <t>,</t>
    </r>
    <r>
      <rPr>
        <sz val="12"/>
        <color theme="1"/>
        <rFont val="Calibri"/>
        <family val="2"/>
        <charset val="204"/>
        <scheme val="minor"/>
      </rPr>
      <t>59</t>
    </r>
    <r>
      <rPr>
        <sz val="12"/>
        <color theme="1"/>
        <rFont val="Calibri"/>
        <family val="2"/>
        <charset val="204"/>
        <scheme val="minor"/>
      </rPr>
      <t>%</t>
    </r>
  </si>
  <si>
    <t>Salesforce.com</t>
  </si>
  <si>
    <t xml:space="preserve">zyklisch - Luxusgüter - Kosmetik Spirituosen Mode </t>
  </si>
  <si>
    <t>LVMH</t>
  </si>
  <si>
    <t>853292 FR</t>
  </si>
  <si>
    <r>
      <t>Abwärts - -8,</t>
    </r>
    <r>
      <rPr>
        <sz val="12"/>
        <color theme="1"/>
        <rFont val="Calibri"/>
        <family val="2"/>
        <charset val="204"/>
        <scheme val="minor"/>
      </rPr>
      <t>89</t>
    </r>
    <r>
      <rPr>
        <sz val="12"/>
        <color theme="1"/>
        <rFont val="Calibri"/>
        <family val="2"/>
        <charset val="204"/>
        <scheme val="minor"/>
      </rPr>
      <t>%</t>
    </r>
  </si>
  <si>
    <t>Dienstleister - Gesundheitsfürs. Pflege Altenpflege Betreiber Einricht. pflegebed. Menschen</t>
  </si>
  <si>
    <t>Orpea</t>
  </si>
  <si>
    <t>575626 FR</t>
  </si>
  <si>
    <r>
      <t xml:space="preserve">Aufwärts - </t>
    </r>
    <r>
      <rPr>
        <sz val="12"/>
        <color theme="1"/>
        <rFont val="Calibri"/>
        <family val="2"/>
        <charset val="204"/>
        <scheme val="minor"/>
      </rPr>
      <t>16,22</t>
    </r>
    <r>
      <rPr>
        <sz val="12"/>
        <color theme="1"/>
        <rFont val="Calibri"/>
        <family val="2"/>
        <charset val="204"/>
        <scheme val="minor"/>
      </rPr>
      <t>%</t>
    </r>
  </si>
  <si>
    <t>Software - Cloud Computing</t>
  </si>
  <si>
    <t>A0B87V US</t>
  </si>
  <si>
    <r>
      <t>Ab</t>
    </r>
    <r>
      <rPr>
        <sz val="12"/>
        <color theme="1"/>
        <rFont val="Calibri"/>
        <family val="2"/>
        <charset val="204"/>
        <scheme val="minor"/>
      </rPr>
      <t xml:space="preserve">wärts - </t>
    </r>
    <r>
      <rPr>
        <sz val="12"/>
        <color theme="1"/>
        <rFont val="Calibri"/>
        <family val="2"/>
        <charset val="204"/>
        <scheme val="minor"/>
      </rPr>
      <t>10</t>
    </r>
    <r>
      <rPr>
        <sz val="12"/>
        <color theme="1"/>
        <rFont val="Calibri"/>
        <family val="2"/>
        <charset val="204"/>
        <scheme val="minor"/>
      </rPr>
      <t>,</t>
    </r>
    <r>
      <rPr>
        <sz val="12"/>
        <color theme="1"/>
        <rFont val="Calibri"/>
        <family val="2"/>
        <charset val="204"/>
        <scheme val="minor"/>
      </rPr>
      <t>16</t>
    </r>
    <r>
      <rPr>
        <sz val="12"/>
        <color theme="1"/>
        <rFont val="Calibri"/>
        <family val="2"/>
        <charset val="204"/>
        <scheme val="minor"/>
      </rPr>
      <t>%</t>
    </r>
  </si>
  <si>
    <t>Abwärts - -4,86%</t>
  </si>
  <si>
    <r>
      <t>Abwärts</t>
    </r>
    <r>
      <rPr>
        <sz val="12"/>
        <color theme="1"/>
        <rFont val="Calibri"/>
        <family val="2"/>
        <charset val="204"/>
        <scheme val="minor"/>
      </rPr>
      <t xml:space="preserve"> - -</t>
    </r>
    <r>
      <rPr>
        <sz val="12"/>
        <color theme="1"/>
        <rFont val="Calibri"/>
        <family val="2"/>
        <charset val="204"/>
        <scheme val="minor"/>
      </rPr>
      <t>9,43%</t>
    </r>
  </si>
  <si>
    <r>
      <t>Abwärts - -</t>
    </r>
    <r>
      <rPr>
        <sz val="12"/>
        <color theme="1"/>
        <rFont val="Calibri"/>
        <family val="2"/>
        <charset val="204"/>
        <scheme val="minor"/>
      </rPr>
      <t>9,18%</t>
    </r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</si>
  <si>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20.11.2018</t>
    </r>
  </si>
  <si>
    <t>Mittags</t>
  </si>
  <si>
    <r>
      <t>A</t>
    </r>
    <r>
      <rPr>
        <sz val="12"/>
        <color theme="1"/>
        <rFont val="Calibri"/>
        <family val="2"/>
        <charset val="204"/>
        <scheme val="minor"/>
      </rPr>
      <t>bwärts - 9,21%</t>
    </r>
  </si>
  <si>
    <r>
      <t>Abwärts - -</t>
    </r>
    <r>
      <rPr>
        <sz val="12"/>
        <color theme="1"/>
        <rFont val="Calibri"/>
        <family val="2"/>
        <charset val="204"/>
        <scheme val="minor"/>
      </rPr>
      <t>9,75%</t>
    </r>
  </si>
  <si>
    <t>A2PA4R GB</t>
  </si>
  <si>
    <r>
      <t xml:space="preserve">Dividenden-rendite </t>
    </r>
    <r>
      <rPr>
        <sz val="12"/>
        <color theme="1"/>
        <rFont val="Calibri"/>
        <family val="2"/>
        <charset val="204"/>
        <scheme val="minor"/>
      </rPr>
      <t>aktuell</t>
    </r>
  </si>
  <si>
    <r>
      <t>UGI</t>
    </r>
    <r>
      <rPr>
        <sz val="12"/>
        <color theme="1"/>
        <rFont val="Calibri"/>
        <family val="2"/>
        <charset val="204"/>
        <scheme val="minor"/>
      </rPr>
      <t xml:space="preserve"> Corp.</t>
    </r>
  </si>
  <si>
    <t>19:15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</si>
</sst>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0">
    <xf numFmtId="0" fontId="0" fillId="0" borderId="0"/>
    <xf numFmtId="0" fontId="16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71">
    <xf numFmtId="0" fontId="0" fillId="0" borderId="0" xfId="0"/>
    <xf numFmtId="0" fontId="15" fillId="0" borderId="0" xfId="0" applyFont="1"/>
    <xf numFmtId="4" fontId="15" fillId="0" borderId="0" xfId="0" applyNumberFormat="1" applyFont="1"/>
    <xf numFmtId="10" fontId="15" fillId="0" borderId="0" xfId="0" applyNumberFormat="1" applyFont="1"/>
    <xf numFmtId="0" fontId="17" fillId="0" borderId="0" xfId="0" applyFont="1"/>
    <xf numFmtId="0" fontId="15" fillId="0" borderId="1" xfId="0" applyFont="1" applyBorder="1"/>
    <xf numFmtId="4" fontId="15" fillId="0" borderId="1" xfId="0" applyNumberFormat="1" applyFont="1" applyBorder="1"/>
    <xf numFmtId="10" fontId="15" fillId="0" borderId="1" xfId="0" applyNumberFormat="1" applyFont="1" applyBorder="1"/>
    <xf numFmtId="4" fontId="15" fillId="0" borderId="1" xfId="0" applyNumberFormat="1" applyFont="1" applyBorder="1" applyAlignment="1">
      <alignment wrapText="1"/>
    </xf>
    <xf numFmtId="10" fontId="15" fillId="0" borderId="1" xfId="0" applyNumberFormat="1" applyFont="1" applyBorder="1" applyAlignment="1">
      <alignment wrapText="1"/>
    </xf>
    <xf numFmtId="0" fontId="17" fillId="0" borderId="1" xfId="0" applyFont="1" applyBorder="1"/>
    <xf numFmtId="4" fontId="17" fillId="0" borderId="1" xfId="0" applyNumberFormat="1" applyFont="1" applyBorder="1"/>
    <xf numFmtId="10" fontId="17" fillId="0" borderId="1" xfId="0" applyNumberFormat="1" applyFont="1" applyBorder="1"/>
    <xf numFmtId="0" fontId="14" fillId="2" borderId="0" xfId="0" applyFont="1" applyFill="1"/>
    <xf numFmtId="0" fontId="15" fillId="2" borderId="0" xfId="0" applyFont="1" applyFill="1"/>
    <xf numFmtId="4" fontId="15" fillId="2" borderId="0" xfId="0" applyNumberFormat="1" applyFont="1" applyFill="1"/>
    <xf numFmtId="10" fontId="15" fillId="2" borderId="0" xfId="0" applyNumberFormat="1" applyFont="1" applyFill="1"/>
    <xf numFmtId="1" fontId="13" fillId="0" borderId="1" xfId="0" applyNumberFormat="1" applyFont="1" applyBorder="1" applyAlignment="1">
      <alignment wrapText="1"/>
    </xf>
    <xf numFmtId="1" fontId="15" fillId="0" borderId="1" xfId="0" applyNumberFormat="1" applyFont="1" applyBorder="1"/>
    <xf numFmtId="1" fontId="17" fillId="0" borderId="1" xfId="0" applyNumberFormat="1" applyFont="1" applyBorder="1"/>
    <xf numFmtId="1" fontId="15" fillId="2" borderId="0" xfId="0" applyNumberFormat="1" applyFont="1" applyFill="1"/>
    <xf numFmtId="1" fontId="15" fillId="0" borderId="0" xfId="0" applyNumberFormat="1" applyFont="1"/>
    <xf numFmtId="4" fontId="13" fillId="0" borderId="1" xfId="0" applyNumberFormat="1" applyFont="1" applyBorder="1"/>
    <xf numFmtId="10" fontId="13" fillId="0" borderId="1" xfId="0" applyNumberFormat="1" applyFont="1" applyBorder="1" applyAlignment="1">
      <alignment wrapText="1"/>
    </xf>
    <xf numFmtId="4" fontId="12" fillId="2" borderId="0" xfId="0" applyNumberFormat="1" applyFont="1" applyFill="1"/>
    <xf numFmtId="4" fontId="12" fillId="0" borderId="1" xfId="0" applyNumberFormat="1" applyFont="1" applyBorder="1" applyAlignment="1">
      <alignment wrapText="1"/>
    </xf>
    <xf numFmtId="4" fontId="12" fillId="0" borderId="1" xfId="0" applyNumberFormat="1" applyFont="1" applyBorder="1"/>
    <xf numFmtId="0" fontId="12" fillId="2" borderId="0" xfId="0" applyFont="1" applyFill="1"/>
    <xf numFmtId="4" fontId="11" fillId="0" borderId="1" xfId="0" applyNumberFormat="1" applyFont="1" applyBorder="1"/>
    <xf numFmtId="0" fontId="10" fillId="0" borderId="1" xfId="0" applyFont="1" applyBorder="1"/>
    <xf numFmtId="4" fontId="10" fillId="0" borderId="1" xfId="0" applyNumberFormat="1" applyFont="1" applyBorder="1" applyAlignment="1">
      <alignment wrapText="1"/>
    </xf>
    <xf numFmtId="10" fontId="10" fillId="0" borderId="1" xfId="0" applyNumberFormat="1" applyFont="1" applyBorder="1"/>
    <xf numFmtId="1" fontId="10" fillId="0" borderId="1" xfId="0" applyNumberFormat="1" applyFont="1" applyBorder="1" applyAlignment="1">
      <alignment wrapText="1"/>
    </xf>
    <xf numFmtId="4" fontId="10" fillId="0" borderId="1" xfId="0" applyNumberFormat="1" applyFont="1" applyBorder="1"/>
    <xf numFmtId="10" fontId="10" fillId="0" borderId="1" xfId="0" applyNumberFormat="1" applyFont="1" applyBorder="1" applyAlignment="1">
      <alignment wrapText="1"/>
    </xf>
    <xf numFmtId="0" fontId="10" fillId="0" borderId="0" xfId="0" applyFont="1"/>
    <xf numFmtId="1" fontId="10" fillId="0" borderId="1" xfId="0" applyNumberFormat="1" applyFont="1" applyBorder="1"/>
    <xf numFmtId="0" fontId="10" fillId="0" borderId="1" xfId="0" applyFont="1" applyFill="1" applyBorder="1"/>
    <xf numFmtId="0" fontId="21" fillId="0" borderId="1" xfId="0" applyFont="1" applyBorder="1"/>
    <xf numFmtId="0" fontId="0" fillId="0" borderId="1" xfId="0" applyFont="1" applyBorder="1" applyAlignment="1">
      <alignment wrapText="1"/>
    </xf>
    <xf numFmtId="0" fontId="10" fillId="2" borderId="0" xfId="0" applyFont="1" applyFill="1"/>
    <xf numFmtId="4" fontId="10" fillId="2" borderId="0" xfId="0" applyNumberFormat="1" applyFont="1" applyFill="1"/>
    <xf numFmtId="10" fontId="10" fillId="2" borderId="0" xfId="0" applyNumberFormat="1" applyFont="1" applyFill="1"/>
    <xf numFmtId="1" fontId="10" fillId="2" borderId="0" xfId="0" applyNumberFormat="1" applyFont="1" applyFill="1"/>
    <xf numFmtId="4" fontId="10" fillId="0" borderId="0" xfId="0" applyNumberFormat="1" applyFont="1"/>
    <xf numFmtId="10" fontId="10" fillId="0" borderId="0" xfId="0" applyNumberFormat="1" applyFont="1"/>
    <xf numFmtId="1" fontId="10" fillId="0" borderId="0" xfId="0" applyNumberFormat="1" applyFont="1"/>
    <xf numFmtId="4" fontId="9" fillId="0" borderId="1" xfId="0" applyNumberFormat="1" applyFont="1" applyBorder="1" applyAlignment="1">
      <alignment wrapText="1"/>
    </xf>
    <xf numFmtId="0" fontId="9" fillId="0" borderId="0" xfId="0" applyFont="1"/>
    <xf numFmtId="14" fontId="15" fillId="0" borderId="0" xfId="0" applyNumberFormat="1" applyFont="1"/>
    <xf numFmtId="0" fontId="9" fillId="2" borderId="0" xfId="0" applyFont="1" applyFill="1"/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8" fillId="0" borderId="0" xfId="0" applyFont="1"/>
    <xf numFmtId="0" fontId="22" fillId="0" borderId="0" xfId="0" applyFont="1"/>
    <xf numFmtId="0" fontId="7" fillId="2" borderId="0" xfId="0" applyFont="1" applyFill="1"/>
    <xf numFmtId="0" fontId="7" fillId="0" borderId="1" xfId="0" applyFont="1" applyBorder="1"/>
    <xf numFmtId="0" fontId="7" fillId="0" borderId="1" xfId="0" applyFont="1" applyBorder="1" applyAlignment="1">
      <alignment wrapText="1"/>
    </xf>
    <xf numFmtId="4" fontId="7" fillId="0" borderId="1" xfId="0" applyNumberFormat="1" applyFont="1" applyBorder="1" applyAlignment="1">
      <alignment wrapText="1"/>
    </xf>
    <xf numFmtId="0" fontId="7" fillId="0" borderId="0" xfId="0" applyFont="1"/>
    <xf numFmtId="10" fontId="17" fillId="0" borderId="0" xfId="0" applyNumberFormat="1" applyFont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2" borderId="0" xfId="0" applyFont="1" applyFill="1"/>
    <xf numFmtId="4" fontId="5" fillId="0" borderId="1" xfId="0" applyNumberFormat="1" applyFont="1" applyBorder="1" applyAlignment="1">
      <alignment wrapText="1"/>
    </xf>
    <xf numFmtId="0" fontId="5" fillId="0" borderId="0" xfId="0" applyFont="1"/>
    <xf numFmtId="10" fontId="4" fillId="0" borderId="1" xfId="0" applyNumberFormat="1" applyFont="1" applyBorder="1" applyAlignment="1">
      <alignment wrapText="1"/>
    </xf>
    <xf numFmtId="0" fontId="3" fillId="0" borderId="1" xfId="0" applyFont="1" applyBorder="1"/>
    <xf numFmtId="0" fontId="2" fillId="0" borderId="1" xfId="0" applyFont="1" applyFill="1" applyBorder="1"/>
  </cellXfs>
  <cellStyles count="300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Besuchter Link" xfId="135" builtinId="9" hidden="1"/>
    <cellStyle name="Besuchter Link" xfId="137" builtinId="9" hidden="1"/>
    <cellStyle name="Besuchter Link" xfId="139" builtinId="9" hidden="1"/>
    <cellStyle name="Besuchter Link" xfId="141" builtinId="9" hidden="1"/>
    <cellStyle name="Besuchter Link" xfId="143" builtinId="9" hidden="1"/>
    <cellStyle name="Besuchter Link" xfId="145" builtinId="9" hidden="1"/>
    <cellStyle name="Besuchter Link" xfId="147" builtinId="9" hidden="1"/>
    <cellStyle name="Besuchter Link" xfId="149" builtinId="9" hidden="1"/>
    <cellStyle name="Besuchter Link" xfId="151" builtinId="9" hidden="1"/>
    <cellStyle name="Besuchter Link" xfId="153" builtinId="9" hidden="1"/>
    <cellStyle name="Besuchter Link" xfId="155" builtinId="9" hidden="1"/>
    <cellStyle name="Besuchter Link" xfId="157" builtinId="9" hidden="1"/>
    <cellStyle name="Besuchter Link" xfId="159" builtinId="9" hidden="1"/>
    <cellStyle name="Besuchter Link" xfId="161" builtinId="9" hidden="1"/>
    <cellStyle name="Besuchter Link" xfId="163" builtinId="9" hidden="1"/>
    <cellStyle name="Besuchter Link" xfId="165" builtinId="9" hidden="1"/>
    <cellStyle name="Besuchter Link" xfId="167" builtinId="9" hidden="1"/>
    <cellStyle name="Besuchter Link" xfId="169" builtinId="9" hidden="1"/>
    <cellStyle name="Besuchter Link" xfId="171" builtinId="9" hidden="1"/>
    <cellStyle name="Besuchter Link" xfId="173" builtinId="9" hidden="1"/>
    <cellStyle name="Besuchter Link" xfId="175" builtinId="9" hidden="1"/>
    <cellStyle name="Besuchter Link" xfId="177" builtinId="9" hidden="1"/>
    <cellStyle name="Besuchter Link" xfId="179" builtinId="9" hidden="1"/>
    <cellStyle name="Besuchter Link" xfId="181" builtinId="9" hidden="1"/>
    <cellStyle name="Besuchter Link" xfId="183" builtinId="9" hidden="1"/>
    <cellStyle name="Besuchter Link" xfId="185" builtinId="9" hidden="1"/>
    <cellStyle name="Besuchter Link" xfId="187" builtinId="9" hidden="1"/>
    <cellStyle name="Besuchter Link" xfId="189" builtinId="9" hidden="1"/>
    <cellStyle name="Besuchter Link" xfId="191" builtinId="9" hidden="1"/>
    <cellStyle name="Besuchter Link" xfId="193" builtinId="9" hidden="1"/>
    <cellStyle name="Besuchter Link" xfId="195" builtinId="9" hidden="1"/>
    <cellStyle name="Besuchter Link" xfId="197" builtinId="9" hidden="1"/>
    <cellStyle name="Besuchter Link" xfId="199" builtinId="9" hidden="1"/>
    <cellStyle name="Besuchter Link" xfId="201" builtinId="9" hidden="1"/>
    <cellStyle name="Besuchter Link" xfId="203" builtinId="9" hidden="1"/>
    <cellStyle name="Besuchter Link" xfId="205" builtinId="9" hidden="1"/>
    <cellStyle name="Besuchter Link" xfId="207" builtinId="9" hidden="1"/>
    <cellStyle name="Besuchter Link" xfId="209" builtinId="9" hidden="1"/>
    <cellStyle name="Besuchter Link" xfId="211" builtinId="9" hidden="1"/>
    <cellStyle name="Besuchter Link" xfId="213" builtinId="9" hidden="1"/>
    <cellStyle name="Besuchter Link" xfId="215" builtinId="9" hidden="1"/>
    <cellStyle name="Besuchter Link" xfId="217" builtinId="9" hidden="1"/>
    <cellStyle name="Besuchter Link" xfId="219" builtinId="9" hidden="1"/>
    <cellStyle name="Besuchter Link" xfId="221" builtinId="9" hidden="1"/>
    <cellStyle name="Besuchter Link" xfId="223" builtinId="9" hidden="1"/>
    <cellStyle name="Besuchter Link" xfId="225" builtinId="9" hidden="1"/>
    <cellStyle name="Besuchter Link" xfId="227" builtinId="9" hidden="1"/>
    <cellStyle name="Besuchter Link" xfId="229" builtinId="9" hidden="1"/>
    <cellStyle name="Besuchter Link" xfId="231" builtinId="9" hidden="1"/>
    <cellStyle name="Besuchter Link" xfId="233" builtinId="9" hidden="1"/>
    <cellStyle name="Besuchter Link" xfId="235" builtinId="9" hidden="1"/>
    <cellStyle name="Besuchter Link" xfId="237" builtinId="9" hidden="1"/>
    <cellStyle name="Besuchter Link" xfId="239" builtinId="9" hidden="1"/>
    <cellStyle name="Besuchter Link" xfId="241" builtinId="9" hidden="1"/>
    <cellStyle name="Besuchter Link" xfId="243" builtinId="9" hidden="1"/>
    <cellStyle name="Besuchter Link" xfId="245" builtinId="9" hidden="1"/>
    <cellStyle name="Besuchter Link" xfId="247" builtinId="9" hidden="1"/>
    <cellStyle name="Besuchter Link" xfId="249" builtinId="9" hidden="1"/>
    <cellStyle name="Besuchter Link" xfId="251" builtinId="9" hidden="1"/>
    <cellStyle name="Besuchter Link" xfId="253" builtinId="9" hidden="1"/>
    <cellStyle name="Besuchter Link" xfId="255" builtinId="9" hidden="1"/>
    <cellStyle name="Besuchter Link" xfId="257" builtinId="9" hidden="1"/>
    <cellStyle name="Besuchter Link" xfId="259" builtinId="9" hidden="1"/>
    <cellStyle name="Besuchter Link" xfId="261" builtinId="9" hidden="1"/>
    <cellStyle name="Besuchter Link" xfId="263" builtinId="9" hidden="1"/>
    <cellStyle name="Besuchter Link" xfId="265" builtinId="9" hidden="1"/>
    <cellStyle name="Besuchter Link" xfId="267" builtinId="9" hidden="1"/>
    <cellStyle name="Besuchter Link" xfId="269" builtinId="9" hidden="1"/>
    <cellStyle name="Besuchter Link" xfId="271" builtinId="9" hidden="1"/>
    <cellStyle name="Besuchter Link" xfId="273" builtinId="9" hidden="1"/>
    <cellStyle name="Besuchter Link" xfId="275" builtinId="9" hidden="1"/>
    <cellStyle name="Besuchter Link" xfId="277" builtinId="9" hidden="1"/>
    <cellStyle name="Besuchter Link" xfId="279" builtinId="9" hidden="1"/>
    <cellStyle name="Besuchter Link" xfId="281" builtinId="9" hidden="1"/>
    <cellStyle name="Besuchter Link" xfId="283" builtinId="9" hidden="1"/>
    <cellStyle name="Besuchter Link" xfId="285" builtinId="9" hidden="1"/>
    <cellStyle name="Besuchter Link" xfId="287" builtinId="9" hidden="1"/>
    <cellStyle name="Besuchter Link" xfId="289" builtinId="9" hidden="1"/>
    <cellStyle name="Besuchter Link" xfId="291" builtinId="9" hidden="1"/>
    <cellStyle name="Besuchter Link" xfId="293" builtinId="9" hidden="1"/>
    <cellStyle name="Besuchter Link" xfId="295" builtinId="9" hidden="1"/>
    <cellStyle name="Besuchter Link" xfId="297" builtinId="9" hidden="1"/>
    <cellStyle name="Besuchter Link" xfId="299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Link" xfId="200" builtinId="8" hidden="1"/>
    <cellStyle name="Link" xfId="202" builtinId="8" hidden="1"/>
    <cellStyle name="Link" xfId="204" builtinId="8" hidden="1"/>
    <cellStyle name="Link" xfId="206" builtinId="8" hidden="1"/>
    <cellStyle name="Link" xfId="208" builtinId="8" hidden="1"/>
    <cellStyle name="Link" xfId="210" builtinId="8" hidden="1"/>
    <cellStyle name="Link" xfId="212" builtinId="8" hidden="1"/>
    <cellStyle name="Link" xfId="214" builtinId="8" hidden="1"/>
    <cellStyle name="Link" xfId="216" builtinId="8" hidden="1"/>
    <cellStyle name="Link" xfId="218" builtinId="8" hidden="1"/>
    <cellStyle name="Link" xfId="220" builtinId="8" hidden="1"/>
    <cellStyle name="Link" xfId="222" builtinId="8" hidden="1"/>
    <cellStyle name="Link" xfId="224" builtinId="8" hidden="1"/>
    <cellStyle name="Link" xfId="226" builtinId="8" hidden="1"/>
    <cellStyle name="Link" xfId="228" builtinId="8" hidden="1"/>
    <cellStyle name="Link" xfId="230" builtinId="8" hidden="1"/>
    <cellStyle name="Link" xfId="232" builtinId="8" hidden="1"/>
    <cellStyle name="Link" xfId="234" builtinId="8" hidden="1"/>
    <cellStyle name="Link" xfId="236" builtinId="8" hidden="1"/>
    <cellStyle name="Link" xfId="238" builtinId="8" hidden="1"/>
    <cellStyle name="Link" xfId="240" builtinId="8" hidden="1"/>
    <cellStyle name="Link" xfId="242" builtinId="8" hidden="1"/>
    <cellStyle name="Link" xfId="244" builtinId="8" hidden="1"/>
    <cellStyle name="Link" xfId="246" builtinId="8" hidden="1"/>
    <cellStyle name="Link" xfId="248" builtinId="8" hidden="1"/>
    <cellStyle name="Link" xfId="250" builtinId="8" hidden="1"/>
    <cellStyle name="Link" xfId="252" builtinId="8" hidden="1"/>
    <cellStyle name="Link" xfId="254" builtinId="8" hidden="1"/>
    <cellStyle name="Link" xfId="256" builtinId="8" hidden="1"/>
    <cellStyle name="Link" xfId="258" builtinId="8" hidden="1"/>
    <cellStyle name="Link" xfId="260" builtinId="8" hidden="1"/>
    <cellStyle name="Link" xfId="262" builtinId="8" hidden="1"/>
    <cellStyle name="Link" xfId="264" builtinId="8" hidden="1"/>
    <cellStyle name="Link" xfId="266" builtinId="8" hidden="1"/>
    <cellStyle name="Link" xfId="268" builtinId="8" hidden="1"/>
    <cellStyle name="Link" xfId="270" builtinId="8" hidden="1"/>
    <cellStyle name="Link" xfId="272" builtinId="8" hidden="1"/>
    <cellStyle name="Link" xfId="274" builtinId="8" hidden="1"/>
    <cellStyle name="Link" xfId="276" builtinId="8" hidden="1"/>
    <cellStyle name="Link" xfId="278" builtinId="8" hidden="1"/>
    <cellStyle name="Link" xfId="280" builtinId="8" hidden="1"/>
    <cellStyle name="Link" xfId="282" builtinId="8" hidden="1"/>
    <cellStyle name="Link" xfId="284" builtinId="8" hidden="1"/>
    <cellStyle name="Link" xfId="286" builtinId="8" hidden="1"/>
    <cellStyle name="Link" xfId="288" builtinId="8" hidden="1"/>
    <cellStyle name="Link" xfId="290" builtinId="8" hidden="1"/>
    <cellStyle name="Link" xfId="292" builtinId="8" hidden="1"/>
    <cellStyle name="Link" xfId="294" builtinId="8" hidden="1"/>
    <cellStyle name="Link" xfId="296" builtinId="8" hidden="1"/>
    <cellStyle name="Link" xfId="298" builtinId="8" hidden="1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9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15" sqref="S15"/>
    </sheetView>
  </sheetViews>
  <sheetFormatPr baseColWidth="10" defaultRowHeight="15" x14ac:dyDescent="0"/>
  <cols>
    <col min="1" max="1" width="19" style="1" bestFit="1" customWidth="1"/>
    <col min="2" max="2" width="32.33203125" style="1" bestFit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1.332031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18.33203125" style="1" bestFit="1" customWidth="1"/>
    <col min="11" max="11" width="11.1640625" style="2" customWidth="1"/>
    <col min="12" max="12" width="7" style="21" bestFit="1" customWidth="1"/>
    <col min="13" max="13" width="7.16406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25" t="s">
        <v>77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120</v>
      </c>
      <c r="O1" s="47" t="s">
        <v>121</v>
      </c>
      <c r="P1" s="47" t="s">
        <v>122</v>
      </c>
      <c r="Q1" s="7" t="s">
        <v>3</v>
      </c>
      <c r="R1" s="9" t="s">
        <v>70</v>
      </c>
      <c r="S1" s="23" t="s">
        <v>74</v>
      </c>
      <c r="T1" s="68" t="s">
        <v>231</v>
      </c>
    </row>
    <row r="2" spans="1:20">
      <c r="A2" s="5" t="s">
        <v>4</v>
      </c>
      <c r="B2" s="5" t="s">
        <v>5</v>
      </c>
      <c r="C2" s="5" t="s">
        <v>6</v>
      </c>
      <c r="D2" s="5" t="s">
        <v>58</v>
      </c>
      <c r="E2" s="5" t="s">
        <v>7</v>
      </c>
      <c r="F2" s="5" t="s">
        <v>7</v>
      </c>
      <c r="G2" s="5" t="s">
        <v>14</v>
      </c>
      <c r="H2" s="6">
        <f t="shared" ref="H2:H11" si="0">L2*M2</f>
        <v>999.02</v>
      </c>
      <c r="I2" s="7"/>
      <c r="J2" s="5" t="s">
        <v>52</v>
      </c>
      <c r="K2" s="6">
        <v>45.405000000000001</v>
      </c>
      <c r="L2" s="18">
        <v>22</v>
      </c>
      <c r="M2" s="6">
        <v>45.41</v>
      </c>
      <c r="N2" s="6">
        <v>43.4</v>
      </c>
      <c r="O2" s="6">
        <f>N2</f>
        <v>43.4</v>
      </c>
      <c r="P2" s="6">
        <f t="shared" ref="P2:P11" si="1">L2*O2</f>
        <v>954.8</v>
      </c>
      <c r="Q2" s="7"/>
      <c r="R2" s="7">
        <f t="shared" ref="R2:R12" si="2">(P2-H2)/H2</f>
        <v>-4.4263378110548368E-2</v>
      </c>
      <c r="S2" s="7"/>
      <c r="T2" s="7">
        <v>2.1559075961630304E-2</v>
      </c>
    </row>
    <row r="3" spans="1:20">
      <c r="A3" s="5" t="s">
        <v>4</v>
      </c>
      <c r="B3" s="5" t="s">
        <v>8</v>
      </c>
      <c r="C3" s="5" t="s">
        <v>9</v>
      </c>
      <c r="D3" s="5" t="s">
        <v>59</v>
      </c>
      <c r="E3" s="5" t="s">
        <v>10</v>
      </c>
      <c r="F3" s="5" t="s">
        <v>15</v>
      </c>
      <c r="G3" s="5" t="s">
        <v>16</v>
      </c>
      <c r="H3" s="6">
        <f t="shared" si="0"/>
        <v>985.6</v>
      </c>
      <c r="I3" s="7">
        <f>(H2+H3)/H12</f>
        <v>0.19926243721027365</v>
      </c>
      <c r="J3" s="5" t="s">
        <v>60</v>
      </c>
      <c r="K3" s="6">
        <v>61.6</v>
      </c>
      <c r="L3" s="18">
        <v>16</v>
      </c>
      <c r="M3" s="6">
        <v>61.6</v>
      </c>
      <c r="N3" s="6">
        <v>87.12</v>
      </c>
      <c r="O3" s="6">
        <f>N3</f>
        <v>87.12</v>
      </c>
      <c r="P3" s="6">
        <f t="shared" si="1"/>
        <v>1393.92</v>
      </c>
      <c r="Q3" s="7">
        <f>(P2+P3)/P12</f>
        <v>0.17672687570631262</v>
      </c>
      <c r="R3" s="7">
        <f t="shared" si="2"/>
        <v>0.41428571428571431</v>
      </c>
      <c r="S3" s="7"/>
      <c r="T3" s="7">
        <v>1.0575392312940642E-2</v>
      </c>
    </row>
    <row r="4" spans="1:20">
      <c r="A4" s="5" t="s">
        <v>26</v>
      </c>
      <c r="B4" s="5" t="s">
        <v>27</v>
      </c>
      <c r="C4" s="5" t="s">
        <v>28</v>
      </c>
      <c r="D4" s="5" t="s">
        <v>61</v>
      </c>
      <c r="E4" s="5" t="s">
        <v>29</v>
      </c>
      <c r="F4" s="5" t="s">
        <v>30</v>
      </c>
      <c r="G4" s="5" t="s">
        <v>31</v>
      </c>
      <c r="H4" s="6">
        <f t="shared" si="0"/>
        <v>1019.43</v>
      </c>
      <c r="I4" s="7"/>
      <c r="J4" s="5" t="s">
        <v>53</v>
      </c>
      <c r="K4" s="6">
        <v>113.27</v>
      </c>
      <c r="L4" s="18">
        <v>9</v>
      </c>
      <c r="M4" s="6">
        <f>K4</f>
        <v>113.27</v>
      </c>
      <c r="N4" s="6">
        <v>145.6</v>
      </c>
      <c r="O4" s="6">
        <f>N4</f>
        <v>145.6</v>
      </c>
      <c r="P4" s="6">
        <f t="shared" si="1"/>
        <v>1310.3999999999999</v>
      </c>
      <c r="Q4" s="7"/>
      <c r="R4" s="7">
        <f t="shared" si="2"/>
        <v>0.28542420764544885</v>
      </c>
      <c r="S4" s="7"/>
      <c r="T4" s="7">
        <v>9.0606547410328961E-3</v>
      </c>
    </row>
    <row r="5" spans="1:20">
      <c r="A5" s="5" t="s">
        <v>26</v>
      </c>
      <c r="B5" s="5" t="s">
        <v>32</v>
      </c>
      <c r="C5" s="5" t="s">
        <v>33</v>
      </c>
      <c r="D5" s="5" t="s">
        <v>57</v>
      </c>
      <c r="E5" s="5" t="s">
        <v>10</v>
      </c>
      <c r="F5" s="5" t="s">
        <v>34</v>
      </c>
      <c r="G5" s="5" t="s">
        <v>35</v>
      </c>
      <c r="H5" s="6">
        <f t="shared" si="0"/>
        <v>993.6</v>
      </c>
      <c r="I5" s="7">
        <f>(H4+H5)/H12</f>
        <v>0.20211489553536557</v>
      </c>
      <c r="J5" s="5" t="s">
        <v>54</v>
      </c>
      <c r="K5" s="6">
        <v>23.08</v>
      </c>
      <c r="L5" s="18">
        <v>40</v>
      </c>
      <c r="M5" s="6">
        <v>24.84</v>
      </c>
      <c r="N5" s="6">
        <v>20.56</v>
      </c>
      <c r="O5" s="6">
        <f>N5*B19</f>
        <v>24.402664000000001</v>
      </c>
      <c r="P5" s="6">
        <f t="shared" si="1"/>
        <v>976.10656000000006</v>
      </c>
      <c r="Q5" s="7">
        <f>(P4+P5)/P12</f>
        <v>0.17204569324176078</v>
      </c>
      <c r="R5" s="7">
        <f t="shared" si="2"/>
        <v>-1.7606119162640866E-2</v>
      </c>
      <c r="S5" s="7"/>
      <c r="T5" s="7">
        <v>2.4022609514837492E-2</v>
      </c>
    </row>
    <row r="6" spans="1:20">
      <c r="A6" s="5" t="s">
        <v>38</v>
      </c>
      <c r="B6" s="5" t="s">
        <v>39</v>
      </c>
      <c r="C6" s="5" t="s">
        <v>40</v>
      </c>
      <c r="D6" s="5" t="s">
        <v>62</v>
      </c>
      <c r="E6" s="5" t="s">
        <v>20</v>
      </c>
      <c r="F6" s="5" t="s">
        <v>41</v>
      </c>
      <c r="G6" s="5" t="s">
        <v>42</v>
      </c>
      <c r="H6" s="6">
        <f t="shared" si="0"/>
        <v>1006.08</v>
      </c>
      <c r="I6" s="7"/>
      <c r="J6" s="5" t="s">
        <v>54</v>
      </c>
      <c r="K6" s="6">
        <v>63.04</v>
      </c>
      <c r="L6" s="18">
        <v>24</v>
      </c>
      <c r="M6" s="6">
        <v>41.92</v>
      </c>
      <c r="N6" s="6">
        <v>108.66</v>
      </c>
      <c r="O6" s="6">
        <f>N6*B21</f>
        <v>74.290841999999998</v>
      </c>
      <c r="P6" s="6">
        <f t="shared" si="1"/>
        <v>1782.9802079999999</v>
      </c>
      <c r="Q6" s="7"/>
      <c r="R6" s="7">
        <f t="shared" si="2"/>
        <v>0.77220520038167928</v>
      </c>
      <c r="S6" s="7"/>
      <c r="T6" s="7">
        <v>0</v>
      </c>
    </row>
    <row r="7" spans="1:20">
      <c r="A7" s="5" t="s">
        <v>38</v>
      </c>
      <c r="B7" s="5" t="s">
        <v>43</v>
      </c>
      <c r="C7" s="5" t="s">
        <v>44</v>
      </c>
      <c r="D7" s="5" t="s">
        <v>63</v>
      </c>
      <c r="E7" s="5" t="s">
        <v>29</v>
      </c>
      <c r="F7" s="5" t="s">
        <v>45</v>
      </c>
      <c r="G7" s="5" t="s">
        <v>22</v>
      </c>
      <c r="H7" s="6">
        <f t="shared" si="0"/>
        <v>992.32</v>
      </c>
      <c r="I7" s="7">
        <f>(H6+H7)/H12</f>
        <v>0.20064599496176141</v>
      </c>
      <c r="J7" s="5" t="s">
        <v>64</v>
      </c>
      <c r="K7" s="6">
        <v>36.92</v>
      </c>
      <c r="L7" s="18">
        <v>32</v>
      </c>
      <c r="M7" s="6">
        <v>31.01</v>
      </c>
      <c r="N7" s="6">
        <v>56</v>
      </c>
      <c r="O7" s="6">
        <f>N7*B18</f>
        <v>50.478400000000001</v>
      </c>
      <c r="P7" s="6">
        <f t="shared" si="1"/>
        <v>1615.3088</v>
      </c>
      <c r="Q7" s="7">
        <f>(P6+P7)/P12</f>
        <v>0.25570055141989861</v>
      </c>
      <c r="R7" s="7">
        <f t="shared" si="2"/>
        <v>0.62781038374717824</v>
      </c>
      <c r="S7" s="7"/>
      <c r="T7" s="7">
        <v>3.296289320022603E-2</v>
      </c>
    </row>
    <row r="8" spans="1:20">
      <c r="A8" s="5" t="s">
        <v>17</v>
      </c>
      <c r="B8" s="5" t="s">
        <v>18</v>
      </c>
      <c r="C8" s="5" t="s">
        <v>19</v>
      </c>
      <c r="D8" s="5" t="s">
        <v>65</v>
      </c>
      <c r="E8" s="5" t="s">
        <v>20</v>
      </c>
      <c r="F8" s="5" t="s">
        <v>21</v>
      </c>
      <c r="G8" s="5" t="s">
        <v>22</v>
      </c>
      <c r="H8" s="6">
        <f t="shared" si="0"/>
        <v>989.01</v>
      </c>
      <c r="I8" s="7"/>
      <c r="J8" s="5" t="s">
        <v>66</v>
      </c>
      <c r="K8" s="6">
        <v>130.87</v>
      </c>
      <c r="L8" s="18">
        <v>9</v>
      </c>
      <c r="M8" s="6">
        <v>109.89</v>
      </c>
      <c r="N8" s="6">
        <v>184.37</v>
      </c>
      <c r="O8" s="6">
        <f>N8*B18</f>
        <v>166.19111799999999</v>
      </c>
      <c r="P8" s="6">
        <f t="shared" si="1"/>
        <v>1495.7200619999999</v>
      </c>
      <c r="Q8" s="7"/>
      <c r="R8" s="7">
        <f t="shared" si="2"/>
        <v>0.51234068614068606</v>
      </c>
      <c r="S8" s="7"/>
      <c r="T8" s="7">
        <v>1.0714094391171587E-2</v>
      </c>
    </row>
    <row r="9" spans="1:20">
      <c r="A9" s="5" t="s">
        <v>17</v>
      </c>
      <c r="B9" s="5" t="s">
        <v>23</v>
      </c>
      <c r="C9" s="5" t="s">
        <v>24</v>
      </c>
      <c r="D9" s="5" t="s">
        <v>67</v>
      </c>
      <c r="E9" s="5" t="s">
        <v>20</v>
      </c>
      <c r="F9" s="5" t="s">
        <v>21</v>
      </c>
      <c r="G9" s="5" t="s">
        <v>22</v>
      </c>
      <c r="H9" s="6">
        <f t="shared" si="0"/>
        <v>1016.3699999999999</v>
      </c>
      <c r="I9" s="7">
        <f>(H8+H9)/H12</f>
        <v>0.20134681013631758</v>
      </c>
      <c r="J9" s="5" t="s">
        <v>53</v>
      </c>
      <c r="K9" s="6">
        <v>52.73</v>
      </c>
      <c r="L9" s="18">
        <v>23</v>
      </c>
      <c r="M9" s="6">
        <v>44.19</v>
      </c>
      <c r="N9" s="6">
        <v>96.97</v>
      </c>
      <c r="O9" s="6">
        <f>N9*B18</f>
        <v>87.408757999999992</v>
      </c>
      <c r="P9" s="6">
        <f t="shared" si="1"/>
        <v>2010.4014339999999</v>
      </c>
      <c r="Q9" s="7">
        <f>(P8+P9)/P12</f>
        <v>0.26381428941501017</v>
      </c>
      <c r="R9" s="7">
        <f t="shared" si="2"/>
        <v>0.97802122652183765</v>
      </c>
      <c r="S9" s="7"/>
      <c r="T9" s="7">
        <v>1.0749812814204727E-2</v>
      </c>
    </row>
    <row r="10" spans="1:20">
      <c r="A10" s="5" t="s">
        <v>25</v>
      </c>
      <c r="B10" s="5" t="s">
        <v>36</v>
      </c>
      <c r="C10" s="5" t="s">
        <v>37</v>
      </c>
      <c r="D10" s="5" t="s">
        <v>68</v>
      </c>
      <c r="E10" s="5" t="s">
        <v>20</v>
      </c>
      <c r="F10" s="5" t="s">
        <v>21</v>
      </c>
      <c r="G10" s="5" t="s">
        <v>22</v>
      </c>
      <c r="H10" s="6">
        <f t="shared" si="0"/>
        <v>966.06000000000006</v>
      </c>
      <c r="I10" s="7">
        <f>H10/H12</f>
        <v>9.6995631451540845E-2</v>
      </c>
      <c r="J10" s="5" t="s">
        <v>53</v>
      </c>
      <c r="K10" s="6">
        <v>63.94</v>
      </c>
      <c r="L10" s="18">
        <v>18</v>
      </c>
      <c r="M10" s="6">
        <v>53.67</v>
      </c>
      <c r="N10" s="6">
        <v>50.36</v>
      </c>
      <c r="O10" s="6">
        <f>N10*B18</f>
        <v>45.394503999999998</v>
      </c>
      <c r="P10" s="6">
        <f t="shared" si="1"/>
        <v>817.10107199999993</v>
      </c>
      <c r="Q10" s="7">
        <f>P10/P12</f>
        <v>6.1481879317602253E-2</v>
      </c>
      <c r="R10" s="7">
        <f t="shared" si="2"/>
        <v>-0.15419221166387193</v>
      </c>
      <c r="S10" s="7"/>
      <c r="T10" s="7">
        <v>6.841046277665995E-2</v>
      </c>
    </row>
    <row r="11" spans="1:20">
      <c r="A11" s="5" t="s">
        <v>46</v>
      </c>
      <c r="B11" s="5" t="s">
        <v>47</v>
      </c>
      <c r="C11" s="5" t="s">
        <v>48</v>
      </c>
      <c r="D11" s="5" t="s">
        <v>69</v>
      </c>
      <c r="E11" s="5" t="s">
        <v>10</v>
      </c>
      <c r="F11" s="5" t="s">
        <v>49</v>
      </c>
      <c r="G11" s="5" t="s">
        <v>50</v>
      </c>
      <c r="H11" s="6">
        <f t="shared" si="0"/>
        <v>992.34</v>
      </c>
      <c r="I11" s="7">
        <f>H11/H12</f>
        <v>9.963423070474095E-2</v>
      </c>
      <c r="J11" s="5" t="s">
        <v>53</v>
      </c>
      <c r="K11" s="6">
        <v>256.14999999999998</v>
      </c>
      <c r="L11" s="18">
        <v>37</v>
      </c>
      <c r="M11" s="6">
        <v>26.82</v>
      </c>
      <c r="N11" s="6">
        <v>264.14999999999998</v>
      </c>
      <c r="O11" s="6">
        <f>N11*B22</f>
        <v>25.226324999999999</v>
      </c>
      <c r="P11" s="6">
        <f t="shared" si="1"/>
        <v>933.37402499999996</v>
      </c>
      <c r="Q11" s="7">
        <f>P11/P12</f>
        <v>7.0230710899415724E-2</v>
      </c>
      <c r="R11" s="7">
        <f t="shared" si="2"/>
        <v>-5.9421140939597383E-2</v>
      </c>
      <c r="S11" s="7"/>
      <c r="T11" s="7">
        <v>3.9175257731958762E-2</v>
      </c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9959.83</v>
      </c>
      <c r="I12" s="12">
        <f>SUM(I2:I11)</f>
        <v>1</v>
      </c>
      <c r="J12" s="10"/>
      <c r="K12" s="11"/>
      <c r="L12" s="19"/>
      <c r="M12" s="11"/>
      <c r="N12" s="11"/>
      <c r="O12" s="11"/>
      <c r="P12" s="11">
        <f>SUM(P2:P11)</f>
        <v>13290.112160999997</v>
      </c>
      <c r="Q12" s="12"/>
      <c r="R12" s="12">
        <f t="shared" si="2"/>
        <v>0.33437138595739058</v>
      </c>
      <c r="S12" s="12">
        <v>0.1368</v>
      </c>
      <c r="T12" s="12">
        <f>AVERAGE(T2:T11)</f>
        <v>2.2723025344466238E-2</v>
      </c>
    </row>
    <row r="13" spans="1:20">
      <c r="S13" s="60"/>
    </row>
    <row r="14" spans="1:20">
      <c r="A14" s="13" t="s">
        <v>72</v>
      </c>
      <c r="B14" s="14"/>
      <c r="C14" s="14"/>
      <c r="D14" s="14"/>
      <c r="E14" s="14"/>
      <c r="F14" s="14"/>
      <c r="G14" s="14"/>
      <c r="H14" s="15"/>
      <c r="I14" s="16"/>
      <c r="J14" s="27" t="s">
        <v>76</v>
      </c>
      <c r="K14" s="15">
        <v>1947.53</v>
      </c>
      <c r="L14" s="20"/>
      <c r="M14" s="15"/>
      <c r="N14" s="15">
        <v>2289.67</v>
      </c>
      <c r="O14" s="15"/>
      <c r="P14" s="15"/>
      <c r="Q14" s="16"/>
      <c r="R14" s="16">
        <f>(N14-K14)/K14</f>
        <v>0.17567893690982941</v>
      </c>
      <c r="S14" s="16">
        <v>7.46E-2</v>
      </c>
    </row>
    <row r="17" spans="1:3">
      <c r="A17" s="35" t="s">
        <v>116</v>
      </c>
      <c r="B17" s="48" t="s">
        <v>149</v>
      </c>
    </row>
    <row r="18" spans="1:3">
      <c r="A18" s="35" t="s">
        <v>22</v>
      </c>
      <c r="B18" s="35">
        <v>0.90139999999999998</v>
      </c>
    </row>
    <row r="19" spans="1:3">
      <c r="A19" s="35" t="s">
        <v>118</v>
      </c>
      <c r="B19" s="1">
        <v>1.1869000000000001</v>
      </c>
    </row>
    <row r="20" spans="1:3">
      <c r="A20" s="35" t="s">
        <v>31</v>
      </c>
      <c r="B20" s="35">
        <v>8.2000000000000007E-3</v>
      </c>
    </row>
    <row r="21" spans="1:3">
      <c r="A21" s="35" t="s">
        <v>42</v>
      </c>
      <c r="B21" s="1">
        <v>0.68369999999999997</v>
      </c>
    </row>
    <row r="22" spans="1:3">
      <c r="A22" s="35" t="s">
        <v>50</v>
      </c>
      <c r="B22" s="35">
        <v>9.5500000000000002E-2</v>
      </c>
    </row>
    <row r="25" spans="1:3">
      <c r="A25" s="48" t="s">
        <v>123</v>
      </c>
      <c r="B25" s="49">
        <v>43810</v>
      </c>
      <c r="C25" s="54" t="s">
        <v>233</v>
      </c>
    </row>
    <row r="26" spans="1:3">
      <c r="A26" s="48" t="s">
        <v>124</v>
      </c>
      <c r="B26" s="2">
        <v>2.25</v>
      </c>
    </row>
    <row r="29" spans="1:3">
      <c r="A29" s="48"/>
    </row>
  </sheetData>
  <phoneticPr fontId="20" type="noConversion"/>
  <pageMargins left="0.5" right="0.5" top="0.79000000000000015" bottom="0.79000000000000015" header="0.30000000000000004" footer="0.30000000000000004"/>
  <pageSetup paperSize="9" scale="67" orientation="landscape"/>
  <headerFooter>
    <oddHeader>&amp;C&amp;"Calibri,Standard"&amp;K000000Musterdepot per 30.08.2017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23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15" sqref="T15"/>
    </sheetView>
  </sheetViews>
  <sheetFormatPr baseColWidth="10" defaultRowHeight="15" x14ac:dyDescent="0"/>
  <cols>
    <col min="1" max="1" width="19" style="35" bestFit="1" customWidth="1"/>
    <col min="2" max="2" width="37.5" style="35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10.33203125" style="44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6" style="44" bestFit="1" customWidth="1"/>
    <col min="19" max="19" width="11.83203125" style="45" customWidth="1"/>
    <col min="20" max="20" width="12.6640625" style="45" customWidth="1"/>
    <col min="21" max="21" width="12" style="3" customWidth="1"/>
    <col min="22" max="16384" width="10.83203125" style="35"/>
  </cols>
  <sheetData>
    <row r="1" spans="1:21" ht="45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30" t="s">
        <v>78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7" t="s">
        <v>120</v>
      </c>
      <c r="O1" s="47" t="s">
        <v>121</v>
      </c>
      <c r="P1" s="47" t="s">
        <v>122</v>
      </c>
      <c r="Q1" s="31" t="s">
        <v>3</v>
      </c>
      <c r="R1" s="29" t="s">
        <v>51</v>
      </c>
      <c r="S1" s="34" t="s">
        <v>70</v>
      </c>
      <c r="T1" s="34" t="s">
        <v>74</v>
      </c>
      <c r="U1" s="68" t="s">
        <v>231</v>
      </c>
    </row>
    <row r="2" spans="1:21">
      <c r="A2" s="29" t="s">
        <v>4</v>
      </c>
      <c r="B2" s="29" t="s">
        <v>79</v>
      </c>
      <c r="C2" s="29" t="s">
        <v>80</v>
      </c>
      <c r="D2" s="29" t="s">
        <v>81</v>
      </c>
      <c r="E2" s="29" t="s">
        <v>10</v>
      </c>
      <c r="F2" s="29" t="s">
        <v>82</v>
      </c>
      <c r="G2" s="29" t="s">
        <v>83</v>
      </c>
      <c r="H2" s="33">
        <f t="shared" ref="H2:H11" si="0">L2*M2</f>
        <v>1011.2641000000001</v>
      </c>
      <c r="I2" s="31"/>
      <c r="J2" s="29" t="s">
        <v>52</v>
      </c>
      <c r="K2" s="33">
        <v>538.25</v>
      </c>
      <c r="L2" s="36">
        <v>14</v>
      </c>
      <c r="M2" s="33">
        <f>K2*0.1342</f>
        <v>72.233150000000009</v>
      </c>
      <c r="N2" s="33">
        <v>777.6</v>
      </c>
      <c r="O2" s="33">
        <f>N2*B19</f>
        <v>103.88736</v>
      </c>
      <c r="P2" s="33">
        <f t="shared" ref="P2:P11" si="1">L2*O2</f>
        <v>1454.4230400000001</v>
      </c>
      <c r="Q2" s="31"/>
      <c r="R2" s="29"/>
      <c r="S2" s="31">
        <f t="shared" ref="S2:S12" si="2">(P2-H2)/H2</f>
        <v>0.43822275506467595</v>
      </c>
      <c r="T2" s="31"/>
      <c r="U2" s="7">
        <v>2.2453365062432982E-2</v>
      </c>
    </row>
    <row r="3" spans="1:21">
      <c r="A3" s="29" t="s">
        <v>4</v>
      </c>
      <c r="B3" s="29" t="s">
        <v>79</v>
      </c>
      <c r="C3" s="37" t="s">
        <v>84</v>
      </c>
      <c r="D3" s="29" t="s">
        <v>85</v>
      </c>
      <c r="E3" s="29" t="s">
        <v>10</v>
      </c>
      <c r="F3" s="29" t="s">
        <v>15</v>
      </c>
      <c r="G3" s="29" t="s">
        <v>16</v>
      </c>
      <c r="H3" s="33">
        <f t="shared" si="0"/>
        <v>833.00199999999995</v>
      </c>
      <c r="I3" s="31">
        <f>(H2+H3)/H12</f>
        <v>0.18956946133798738</v>
      </c>
      <c r="J3" s="29" t="s">
        <v>54</v>
      </c>
      <c r="K3" s="33">
        <v>416.50099999999998</v>
      </c>
      <c r="L3" s="36">
        <v>2</v>
      </c>
      <c r="M3" s="33">
        <f>K3</f>
        <v>416.50099999999998</v>
      </c>
      <c r="N3" s="33">
        <v>286</v>
      </c>
      <c r="O3" s="33">
        <f>N3</f>
        <v>286</v>
      </c>
      <c r="P3" s="33">
        <f t="shared" si="1"/>
        <v>572</v>
      </c>
      <c r="Q3" s="31">
        <f>(P2+P3)/P12</f>
        <v>0.15904499235673178</v>
      </c>
      <c r="R3" s="33"/>
      <c r="S3" s="31">
        <f t="shared" si="2"/>
        <v>-0.31332697880677352</v>
      </c>
      <c r="T3" s="31"/>
      <c r="U3" s="7">
        <v>2.3809523809523808E-2</v>
      </c>
    </row>
    <row r="4" spans="1:21">
      <c r="A4" s="29" t="s">
        <v>26</v>
      </c>
      <c r="B4" s="29" t="s">
        <v>86</v>
      </c>
      <c r="C4" s="37" t="s">
        <v>87</v>
      </c>
      <c r="D4" s="29" t="s">
        <v>88</v>
      </c>
      <c r="E4" s="29" t="s">
        <v>10</v>
      </c>
      <c r="F4" s="29" t="s">
        <v>89</v>
      </c>
      <c r="G4" s="29" t="s">
        <v>90</v>
      </c>
      <c r="H4" s="33">
        <f t="shared" si="0"/>
        <v>1204.6383600000001</v>
      </c>
      <c r="I4" s="31"/>
      <c r="J4" s="29" t="s">
        <v>91</v>
      </c>
      <c r="K4" s="33">
        <v>460.7</v>
      </c>
      <c r="L4" s="36">
        <v>3</v>
      </c>
      <c r="M4" s="33">
        <f>K4*0.8716</f>
        <v>401.54612000000003</v>
      </c>
      <c r="N4" s="33">
        <v>544.4</v>
      </c>
      <c r="O4" s="33">
        <f>N4*B18</f>
        <v>497.58159999999998</v>
      </c>
      <c r="P4" s="33">
        <f t="shared" si="1"/>
        <v>1492.7447999999999</v>
      </c>
      <c r="Q4" s="31"/>
      <c r="R4" s="33"/>
      <c r="S4" s="31">
        <f t="shared" si="2"/>
        <v>0.23916425839203706</v>
      </c>
      <c r="T4" s="31"/>
      <c r="U4" s="7">
        <v>2.049426617941735E-2</v>
      </c>
    </row>
    <row r="5" spans="1:21">
      <c r="A5" s="29" t="s">
        <v>26</v>
      </c>
      <c r="B5" s="38" t="s">
        <v>92</v>
      </c>
      <c r="C5" s="37" t="s">
        <v>93</v>
      </c>
      <c r="D5" s="29" t="s">
        <v>94</v>
      </c>
      <c r="E5" s="29" t="s">
        <v>29</v>
      </c>
      <c r="F5" s="29" t="s">
        <v>95</v>
      </c>
      <c r="G5" s="29" t="s">
        <v>16</v>
      </c>
      <c r="H5" s="33">
        <f t="shared" si="0"/>
        <v>972.774</v>
      </c>
      <c r="I5" s="31"/>
      <c r="J5" s="29" t="s">
        <v>66</v>
      </c>
      <c r="K5" s="33">
        <v>54.042999999999999</v>
      </c>
      <c r="L5" s="36">
        <v>18</v>
      </c>
      <c r="M5" s="33">
        <f>K5</f>
        <v>54.042999999999999</v>
      </c>
      <c r="N5" s="33">
        <v>49</v>
      </c>
      <c r="O5" s="33">
        <f>N5</f>
        <v>49</v>
      </c>
      <c r="P5" s="33">
        <f t="shared" si="1"/>
        <v>882</v>
      </c>
      <c r="Q5" s="31"/>
      <c r="R5" s="33"/>
      <c r="S5" s="31">
        <f t="shared" si="2"/>
        <v>-9.3314582832189186E-2</v>
      </c>
      <c r="T5" s="31"/>
      <c r="U5" s="7">
        <v>3.2017075773745997E-2</v>
      </c>
    </row>
    <row r="6" spans="1:21">
      <c r="A6" s="29" t="s">
        <v>26</v>
      </c>
      <c r="B6" s="38" t="s">
        <v>96</v>
      </c>
      <c r="C6" s="37" t="s">
        <v>97</v>
      </c>
      <c r="D6" s="29" t="s">
        <v>98</v>
      </c>
      <c r="E6" s="29" t="s">
        <v>20</v>
      </c>
      <c r="F6" s="29" t="s">
        <v>21</v>
      </c>
      <c r="G6" s="29" t="s">
        <v>22</v>
      </c>
      <c r="H6" s="33">
        <f t="shared" si="0"/>
        <v>893.77344000000016</v>
      </c>
      <c r="I6" s="31">
        <f>(H4+H5+H6)/H12</f>
        <v>0.3156827736381837</v>
      </c>
      <c r="J6" s="29" t="s">
        <v>66</v>
      </c>
      <c r="K6" s="33">
        <v>262.72000000000003</v>
      </c>
      <c r="L6" s="36">
        <v>4</v>
      </c>
      <c r="M6" s="33">
        <f>K6*0.8505</f>
        <v>223.44336000000004</v>
      </c>
      <c r="N6" s="33">
        <v>569.91999999999996</v>
      </c>
      <c r="O6" s="33">
        <f>N6*B17</f>
        <v>513.72588799999994</v>
      </c>
      <c r="P6" s="33">
        <f t="shared" si="1"/>
        <v>2054.9035519999998</v>
      </c>
      <c r="Q6" s="31">
        <f>(P4+P5+P6)/P12</f>
        <v>0.34766353045751469</v>
      </c>
      <c r="R6" s="33"/>
      <c r="S6" s="31">
        <f t="shared" si="2"/>
        <v>1.2991324870875547</v>
      </c>
      <c r="T6" s="31"/>
      <c r="U6" s="7">
        <v>2.5000000000000001E-2</v>
      </c>
    </row>
    <row r="7" spans="1:21">
      <c r="A7" s="29" t="s">
        <v>17</v>
      </c>
      <c r="B7" s="29" t="s">
        <v>99</v>
      </c>
      <c r="C7" s="37" t="s">
        <v>100</v>
      </c>
      <c r="D7" s="29" t="s">
        <v>101</v>
      </c>
      <c r="E7" s="29" t="s">
        <v>20</v>
      </c>
      <c r="F7" s="29" t="s">
        <v>21</v>
      </c>
      <c r="G7" s="29" t="s">
        <v>22</v>
      </c>
      <c r="H7" s="33">
        <f t="shared" si="0"/>
        <v>821.75310000000002</v>
      </c>
      <c r="I7" s="31"/>
      <c r="J7" s="29" t="s">
        <v>75</v>
      </c>
      <c r="K7" s="33">
        <v>966.2</v>
      </c>
      <c r="L7" s="36">
        <v>1</v>
      </c>
      <c r="M7" s="33">
        <f>K7*0.8505</f>
        <v>821.75310000000002</v>
      </c>
      <c r="N7" s="33">
        <v>1738.25</v>
      </c>
      <c r="O7" s="33">
        <f>N7*B17</f>
        <v>1566.8585499999999</v>
      </c>
      <c r="P7" s="33">
        <f t="shared" si="1"/>
        <v>1566.8585499999999</v>
      </c>
      <c r="Q7" s="31"/>
      <c r="R7" s="33"/>
      <c r="S7" s="31">
        <f t="shared" si="2"/>
        <v>0.90672666765723176</v>
      </c>
      <c r="T7" s="31"/>
      <c r="U7" s="7">
        <v>0</v>
      </c>
    </row>
    <row r="8" spans="1:21">
      <c r="A8" s="29" t="s">
        <v>17</v>
      </c>
      <c r="B8" s="29" t="s">
        <v>102</v>
      </c>
      <c r="C8" s="37" t="s">
        <v>103</v>
      </c>
      <c r="D8" s="29" t="s">
        <v>104</v>
      </c>
      <c r="E8" s="29" t="s">
        <v>20</v>
      </c>
      <c r="F8" s="29" t="s">
        <v>21</v>
      </c>
      <c r="G8" s="29" t="s">
        <v>22</v>
      </c>
      <c r="H8" s="33">
        <f t="shared" si="0"/>
        <v>1012.307625</v>
      </c>
      <c r="I8" s="31">
        <f>(H7+H8)/H12</f>
        <v>0.18852046551167895</v>
      </c>
      <c r="J8" s="29" t="s">
        <v>54</v>
      </c>
      <c r="K8" s="33">
        <v>47.61</v>
      </c>
      <c r="L8" s="36">
        <v>25</v>
      </c>
      <c r="M8" s="33">
        <f>K8*0.8505</f>
        <v>40.492305000000002</v>
      </c>
      <c r="N8" s="33">
        <v>69.25</v>
      </c>
      <c r="O8" s="33">
        <f>N8*B17</f>
        <v>62.421949999999995</v>
      </c>
      <c r="P8" s="33">
        <f t="shared" si="1"/>
        <v>1560.5487499999999</v>
      </c>
      <c r="Q8" s="31">
        <f>(P7+P8)/P12</f>
        <v>0.24545638314736451</v>
      </c>
      <c r="R8" s="33"/>
      <c r="S8" s="31">
        <f t="shared" si="2"/>
        <v>0.54157561541631172</v>
      </c>
      <c r="T8" s="31"/>
      <c r="U8" s="7">
        <v>1.3525056947608201E-2</v>
      </c>
    </row>
    <row r="9" spans="1:21">
      <c r="A9" s="29" t="s">
        <v>38</v>
      </c>
      <c r="B9" s="38" t="s">
        <v>105</v>
      </c>
      <c r="C9" s="37" t="s">
        <v>106</v>
      </c>
      <c r="D9" s="29" t="s">
        <v>107</v>
      </c>
      <c r="E9" s="29" t="s">
        <v>29</v>
      </c>
      <c r="F9" s="29" t="s">
        <v>108</v>
      </c>
      <c r="G9" s="29" t="s">
        <v>22</v>
      </c>
      <c r="H9" s="33">
        <f t="shared" si="0"/>
        <v>921.2956200000001</v>
      </c>
      <c r="I9" s="31">
        <f>(H9)/H12</f>
        <v>9.4698652443075945E-2</v>
      </c>
      <c r="J9" s="29" t="s">
        <v>54</v>
      </c>
      <c r="K9" s="33">
        <v>270.81</v>
      </c>
      <c r="L9" s="36">
        <v>4</v>
      </c>
      <c r="M9" s="33">
        <f>K9*0.8505</f>
        <v>230.32390500000002</v>
      </c>
      <c r="N9" s="33">
        <v>312.11</v>
      </c>
      <c r="O9" s="33">
        <f>N9*B17</f>
        <v>281.33595400000002</v>
      </c>
      <c r="P9" s="33">
        <f t="shared" si="1"/>
        <v>1125.3438160000001</v>
      </c>
      <c r="Q9" s="31">
        <f>(P9)/P12</f>
        <v>8.8323264728778147E-2</v>
      </c>
      <c r="R9" s="33"/>
      <c r="S9" s="31">
        <f t="shared" si="2"/>
        <v>0.22147961150623938</v>
      </c>
      <c r="T9" s="31"/>
      <c r="U9" s="7">
        <v>3.1079538246860335E-2</v>
      </c>
    </row>
    <row r="10" spans="1:21">
      <c r="A10" s="29" t="s">
        <v>46</v>
      </c>
      <c r="B10" s="29" t="s">
        <v>109</v>
      </c>
      <c r="C10" s="37" t="s">
        <v>110</v>
      </c>
      <c r="D10" s="29" t="s">
        <v>111</v>
      </c>
      <c r="E10" s="29" t="s">
        <v>10</v>
      </c>
      <c r="F10" s="29" t="s">
        <v>112</v>
      </c>
      <c r="G10" s="29" t="s">
        <v>16</v>
      </c>
      <c r="H10" s="33">
        <f t="shared" si="0"/>
        <v>1057.5</v>
      </c>
      <c r="I10" s="31">
        <f>(H10)/H12</f>
        <v>0.10869890487328356</v>
      </c>
      <c r="J10" s="29" t="s">
        <v>54</v>
      </c>
      <c r="K10" s="33">
        <v>105.75</v>
      </c>
      <c r="L10" s="36">
        <v>10</v>
      </c>
      <c r="M10" s="33">
        <f>K10</f>
        <v>105.75</v>
      </c>
      <c r="N10" s="33">
        <v>105.3</v>
      </c>
      <c r="O10" s="33">
        <f>N10</f>
        <v>105.3</v>
      </c>
      <c r="P10" s="33">
        <f t="shared" si="1"/>
        <v>1053</v>
      </c>
      <c r="Q10" s="31">
        <f>(P10)/P12</f>
        <v>8.2645318201493886E-2</v>
      </c>
      <c r="R10" s="33"/>
      <c r="S10" s="31">
        <f t="shared" si="2"/>
        <v>-4.2553191489361703E-3</v>
      </c>
      <c r="T10" s="31"/>
      <c r="U10" s="7">
        <v>2.6477541371158392E-2</v>
      </c>
    </row>
    <row r="11" spans="1:21" ht="28">
      <c r="A11" s="29" t="s">
        <v>113</v>
      </c>
      <c r="B11" s="39" t="s">
        <v>114</v>
      </c>
      <c r="C11" s="70" t="s">
        <v>232</v>
      </c>
      <c r="D11" s="29" t="s">
        <v>115</v>
      </c>
      <c r="E11" s="29" t="s">
        <v>20</v>
      </c>
      <c r="F11" s="29" t="s">
        <v>21</v>
      </c>
      <c r="G11" s="29" t="s">
        <v>22</v>
      </c>
      <c r="H11" s="33">
        <f t="shared" si="0"/>
        <v>1000.400625</v>
      </c>
      <c r="I11" s="31">
        <f>(H11)/H12</f>
        <v>0.10282974219579047</v>
      </c>
      <c r="J11" s="29" t="s">
        <v>54</v>
      </c>
      <c r="K11" s="33">
        <v>47.05</v>
      </c>
      <c r="L11" s="36">
        <v>25</v>
      </c>
      <c r="M11" s="33">
        <f>K11*0.8505</f>
        <v>40.016024999999999</v>
      </c>
      <c r="N11" s="33">
        <v>43.46</v>
      </c>
      <c r="O11" s="33">
        <f>N11*B17</f>
        <v>39.174844</v>
      </c>
      <c r="P11" s="33">
        <f t="shared" si="1"/>
        <v>979.37109999999996</v>
      </c>
      <c r="Q11" s="31">
        <f>(P11)/P12</f>
        <v>7.6866511108116889E-2</v>
      </c>
      <c r="R11" s="33"/>
      <c r="S11" s="31">
        <f t="shared" si="2"/>
        <v>-2.1021103420442222E-2</v>
      </c>
      <c r="T11" s="31"/>
      <c r="U11" s="7">
        <v>3.0998851894374287E-2</v>
      </c>
    </row>
    <row r="12" spans="1:21" s="4" customFormat="1">
      <c r="A12" s="10"/>
      <c r="B12" s="10"/>
      <c r="C12" s="10"/>
      <c r="D12" s="10"/>
      <c r="E12" s="10"/>
      <c r="F12" s="10"/>
      <c r="G12" s="10"/>
      <c r="H12" s="11">
        <f>SUM(H2:H11)</f>
        <v>9728.7088700000004</v>
      </c>
      <c r="I12" s="12">
        <f>SUM(I2:I11)</f>
        <v>1</v>
      </c>
      <c r="J12" s="10"/>
      <c r="K12" s="11"/>
      <c r="L12" s="19"/>
      <c r="M12" s="11"/>
      <c r="N12" s="11"/>
      <c r="O12" s="11"/>
      <c r="P12" s="11">
        <f>SUM(P2:P11)</f>
        <v>12741.193608000001</v>
      </c>
      <c r="Q12" s="12">
        <f>SUM(Q2:Q11)</f>
        <v>1</v>
      </c>
      <c r="R12" s="11"/>
      <c r="S12" s="12">
        <f t="shared" si="2"/>
        <v>0.30964897585634105</v>
      </c>
      <c r="T12" s="12">
        <v>0.13239999999999999</v>
      </c>
      <c r="U12" s="12">
        <f>AVERAGE(U2:U11)</f>
        <v>2.2585521928512133E-2</v>
      </c>
    </row>
    <row r="14" spans="1:21">
      <c r="A14" s="40" t="s">
        <v>72</v>
      </c>
      <c r="B14" s="40"/>
      <c r="C14" s="40"/>
      <c r="D14" s="40"/>
      <c r="E14" s="40"/>
      <c r="F14" s="40"/>
      <c r="G14" s="40"/>
      <c r="H14" s="41"/>
      <c r="I14" s="42"/>
      <c r="J14" s="40" t="s">
        <v>64</v>
      </c>
      <c r="K14" s="41">
        <v>2010.9459999999999</v>
      </c>
      <c r="L14" s="43"/>
      <c r="M14" s="41"/>
      <c r="N14" s="41">
        <f>'170830_langfr_Geldanlage'!N14</f>
        <v>2289.67</v>
      </c>
      <c r="O14" s="41"/>
      <c r="P14" s="41"/>
      <c r="Q14" s="42"/>
      <c r="R14" s="41"/>
      <c r="S14" s="42">
        <f>(N14-K14)/K14</f>
        <v>0.13860342346338497</v>
      </c>
      <c r="T14" s="42">
        <v>6.1600000000000002E-2</v>
      </c>
    </row>
    <row r="16" spans="1:21">
      <c r="A16" s="35" t="s">
        <v>116</v>
      </c>
    </row>
    <row r="17" spans="1:3">
      <c r="A17" s="35" t="s">
        <v>22</v>
      </c>
      <c r="B17" s="35">
        <f>'170830_langfr_Geldanlage'!B18</f>
        <v>0.90139999999999998</v>
      </c>
    </row>
    <row r="18" spans="1:3">
      <c r="A18" s="35" t="s">
        <v>90</v>
      </c>
      <c r="B18" s="35">
        <v>0.91400000000000003</v>
      </c>
    </row>
    <row r="19" spans="1:3">
      <c r="A19" s="35" t="s">
        <v>83</v>
      </c>
      <c r="B19" s="35">
        <v>0.1336</v>
      </c>
    </row>
    <row r="22" spans="1:3">
      <c r="A22" s="48" t="s">
        <v>123</v>
      </c>
      <c r="B22" s="49">
        <f>'170830_langfr_Geldanlage'!B25</f>
        <v>43810</v>
      </c>
      <c r="C22" s="54" t="str">
        <f>'170830_langfr_Geldanlage'!C25</f>
        <v>19:15 Uhr</v>
      </c>
    </row>
    <row r="23" spans="1:3">
      <c r="A23" s="48" t="s">
        <v>124</v>
      </c>
      <c r="B23" s="44">
        <v>2.17</v>
      </c>
    </row>
  </sheetData>
  <phoneticPr fontId="20" type="noConversion"/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&amp;C&amp;"Calibri,Standard"&amp;K000000Musterdepot per 04.10.2017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25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15" sqref="T15"/>
    </sheetView>
  </sheetViews>
  <sheetFormatPr baseColWidth="10" defaultRowHeight="15" x14ac:dyDescent="0"/>
  <cols>
    <col min="1" max="1" width="19" style="1" bestFit="1" customWidth="1"/>
    <col min="2" max="2" width="36.33203125" style="1" bestFit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6" style="2" bestFit="1" customWidth="1"/>
    <col min="19" max="19" width="11.83203125" style="3" customWidth="1"/>
    <col min="20" max="20" width="12.6640625" style="3" customWidth="1"/>
    <col min="21" max="21" width="12" style="3" customWidth="1"/>
    <col min="22" max="16384" width="10.83203125" style="1"/>
  </cols>
  <sheetData>
    <row r="1" spans="1:21" ht="45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47" t="s">
        <v>130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120</v>
      </c>
      <c r="O1" s="47" t="s">
        <v>121</v>
      </c>
      <c r="P1" s="47" t="s">
        <v>122</v>
      </c>
      <c r="Q1" s="7" t="s">
        <v>3</v>
      </c>
      <c r="R1" s="5" t="s">
        <v>51</v>
      </c>
      <c r="S1" s="9" t="s">
        <v>70</v>
      </c>
      <c r="T1" s="23" t="s">
        <v>74</v>
      </c>
      <c r="U1" s="68" t="s">
        <v>231</v>
      </c>
    </row>
    <row r="2" spans="1:21">
      <c r="A2" s="51" t="s">
        <v>126</v>
      </c>
      <c r="B2" s="51" t="s">
        <v>127</v>
      </c>
      <c r="C2" s="51" t="s">
        <v>128</v>
      </c>
      <c r="D2" s="51" t="s">
        <v>129</v>
      </c>
      <c r="E2" s="51" t="s">
        <v>20</v>
      </c>
      <c r="F2" s="51" t="s">
        <v>41</v>
      </c>
      <c r="G2" s="51" t="s">
        <v>42</v>
      </c>
      <c r="H2" s="6">
        <f t="shared" ref="H2:H11" si="0">M2*L2</f>
        <v>1025.74432</v>
      </c>
      <c r="I2" s="7"/>
      <c r="J2" s="51" t="s">
        <v>53</v>
      </c>
      <c r="K2" s="6">
        <v>40.729999999999997</v>
      </c>
      <c r="L2" s="18">
        <v>40</v>
      </c>
      <c r="M2" s="6">
        <f>K2*0.6296</f>
        <v>25.643608</v>
      </c>
      <c r="N2" s="6">
        <v>51.01</v>
      </c>
      <c r="O2" s="6">
        <f>N2*B21</f>
        <v>34.875536999999994</v>
      </c>
      <c r="P2" s="6">
        <f t="shared" ref="P2:P11" si="1">L2*O2</f>
        <v>1395.0214799999999</v>
      </c>
      <c r="Q2" s="7"/>
      <c r="R2" s="33"/>
      <c r="S2" s="7">
        <f>(P2-H2)/H2</f>
        <v>0.36000897377623292</v>
      </c>
      <c r="T2" s="7"/>
      <c r="U2" s="7">
        <v>6.2823061630218696E-2</v>
      </c>
    </row>
    <row r="3" spans="1:21">
      <c r="A3" s="51" t="s">
        <v>131</v>
      </c>
      <c r="B3" s="51" t="s">
        <v>132</v>
      </c>
      <c r="C3" s="51" t="s">
        <v>133</v>
      </c>
      <c r="D3" s="51" t="s">
        <v>134</v>
      </c>
      <c r="E3" s="51" t="s">
        <v>29</v>
      </c>
      <c r="F3" s="51" t="s">
        <v>135</v>
      </c>
      <c r="G3" s="51" t="s">
        <v>16</v>
      </c>
      <c r="H3" s="6">
        <f t="shared" si="0"/>
        <v>946.80000000000007</v>
      </c>
      <c r="I3" s="7"/>
      <c r="J3" s="51" t="s">
        <v>136</v>
      </c>
      <c r="K3" s="6">
        <f>78.9/2</f>
        <v>39.450000000000003</v>
      </c>
      <c r="L3" s="18">
        <v>24</v>
      </c>
      <c r="M3" s="6">
        <f>K3</f>
        <v>39.450000000000003</v>
      </c>
      <c r="N3" s="6">
        <v>56.5</v>
      </c>
      <c r="O3" s="6">
        <f>N3</f>
        <v>56.5</v>
      </c>
      <c r="P3" s="6">
        <f t="shared" si="1"/>
        <v>1356</v>
      </c>
      <c r="Q3" s="7"/>
      <c r="R3" s="26"/>
      <c r="S3" s="7">
        <f t="shared" ref="S3:S12" si="2">(P3-H3)/H3</f>
        <v>0.43219264892268683</v>
      </c>
      <c r="T3" s="7"/>
      <c r="U3" s="7">
        <v>9.5631389372202429E-3</v>
      </c>
    </row>
    <row r="4" spans="1:21">
      <c r="A4" s="51" t="s">
        <v>4</v>
      </c>
      <c r="B4" s="51" t="s">
        <v>5</v>
      </c>
      <c r="C4" s="51" t="s">
        <v>6</v>
      </c>
      <c r="D4" s="51" t="s">
        <v>58</v>
      </c>
      <c r="E4" s="51" t="s">
        <v>7</v>
      </c>
      <c r="F4" s="51" t="s">
        <v>7</v>
      </c>
      <c r="G4" s="51" t="s">
        <v>16</v>
      </c>
      <c r="H4" s="6">
        <f t="shared" si="0"/>
        <v>988.00000000000011</v>
      </c>
      <c r="I4" s="7"/>
      <c r="J4" s="51" t="s">
        <v>53</v>
      </c>
      <c r="K4" s="6">
        <v>39.520000000000003</v>
      </c>
      <c r="L4" s="18">
        <v>25</v>
      </c>
      <c r="M4" s="6">
        <f>K4</f>
        <v>39.520000000000003</v>
      </c>
      <c r="N4" s="6">
        <v>43.4</v>
      </c>
      <c r="O4" s="6">
        <f>N4</f>
        <v>43.4</v>
      </c>
      <c r="P4" s="6">
        <f t="shared" si="1"/>
        <v>1085</v>
      </c>
      <c r="Q4" s="7"/>
      <c r="R4" s="28"/>
      <c r="S4" s="7">
        <f t="shared" si="2"/>
        <v>9.8178137651821734E-2</v>
      </c>
      <c r="T4" s="7"/>
      <c r="U4" s="7">
        <v>2.1559075961630304E-2</v>
      </c>
    </row>
    <row r="5" spans="1:21">
      <c r="A5" s="51" t="s">
        <v>17</v>
      </c>
      <c r="B5" s="51" t="s">
        <v>137</v>
      </c>
      <c r="C5" s="51" t="s">
        <v>138</v>
      </c>
      <c r="D5" s="51" t="s">
        <v>139</v>
      </c>
      <c r="E5" s="51" t="s">
        <v>10</v>
      </c>
      <c r="F5" s="51" t="s">
        <v>15</v>
      </c>
      <c r="G5" s="51" t="s">
        <v>16</v>
      </c>
      <c r="H5" s="6">
        <f t="shared" si="0"/>
        <v>1068</v>
      </c>
      <c r="I5" s="7"/>
      <c r="J5" s="51" t="s">
        <v>60</v>
      </c>
      <c r="K5" s="6">
        <v>106.8</v>
      </c>
      <c r="L5" s="18">
        <v>10</v>
      </c>
      <c r="M5" s="6">
        <f>K5</f>
        <v>106.8</v>
      </c>
      <c r="N5" s="6">
        <v>94.34</v>
      </c>
      <c r="O5" s="6">
        <f>N5</f>
        <v>94.34</v>
      </c>
      <c r="P5" s="6">
        <f t="shared" si="1"/>
        <v>943.40000000000009</v>
      </c>
      <c r="Q5" s="7"/>
      <c r="R5" s="33"/>
      <c r="S5" s="7">
        <f t="shared" si="2"/>
        <v>-0.11666666666666659</v>
      </c>
      <c r="T5" s="7"/>
      <c r="U5" s="7">
        <v>1.9866164784608949E-2</v>
      </c>
    </row>
    <row r="6" spans="1:21">
      <c r="A6" s="51" t="s">
        <v>25</v>
      </c>
      <c r="B6" s="51" t="s">
        <v>144</v>
      </c>
      <c r="C6" s="51" t="s">
        <v>142</v>
      </c>
      <c r="D6" s="51" t="s">
        <v>143</v>
      </c>
      <c r="E6" s="51" t="s">
        <v>20</v>
      </c>
      <c r="F6" s="51" t="s">
        <v>21</v>
      </c>
      <c r="G6" s="51" t="s">
        <v>22</v>
      </c>
      <c r="H6" s="6">
        <f t="shared" si="0"/>
        <v>1052.9375520000001</v>
      </c>
      <c r="I6" s="7"/>
      <c r="J6" s="51" t="s">
        <v>75</v>
      </c>
      <c r="K6" s="6">
        <v>216.28</v>
      </c>
      <c r="L6" s="18">
        <v>6</v>
      </c>
      <c r="M6" s="6">
        <f>K6*0.8114</f>
        <v>175.48959200000002</v>
      </c>
      <c r="N6" s="6">
        <v>179.47</v>
      </c>
      <c r="O6" s="6">
        <f>N6*B18</f>
        <v>161.774258</v>
      </c>
      <c r="P6" s="6">
        <f t="shared" si="1"/>
        <v>970.64554799999996</v>
      </c>
      <c r="Q6" s="7"/>
      <c r="R6" s="22"/>
      <c r="S6" s="7">
        <f t="shared" si="2"/>
        <v>-7.815468623347202E-2</v>
      </c>
      <c r="T6" s="7"/>
      <c r="U6" s="7">
        <v>1.6553799849510911E-2</v>
      </c>
    </row>
    <row r="7" spans="1:21">
      <c r="A7" s="51" t="s">
        <v>26</v>
      </c>
      <c r="B7" s="51" t="s">
        <v>145</v>
      </c>
      <c r="C7" s="51" t="s">
        <v>140</v>
      </c>
      <c r="D7" s="51" t="s">
        <v>146</v>
      </c>
      <c r="E7" s="51" t="s">
        <v>10</v>
      </c>
      <c r="F7" s="51" t="s">
        <v>15</v>
      </c>
      <c r="G7" s="51" t="s">
        <v>16</v>
      </c>
      <c r="H7" s="6">
        <f t="shared" si="0"/>
        <v>1015</v>
      </c>
      <c r="I7" s="7"/>
      <c r="J7" s="51" t="s">
        <v>147</v>
      </c>
      <c r="K7" s="6">
        <v>507.5</v>
      </c>
      <c r="L7" s="18">
        <v>2</v>
      </c>
      <c r="M7" s="6">
        <f>K7</f>
        <v>507.5</v>
      </c>
      <c r="N7" s="6">
        <v>704.5</v>
      </c>
      <c r="O7" s="6">
        <f>N7</f>
        <v>704.5</v>
      </c>
      <c r="P7" s="6">
        <f t="shared" si="1"/>
        <v>1409</v>
      </c>
      <c r="Q7" s="7"/>
      <c r="R7" s="28"/>
      <c r="S7" s="7">
        <f t="shared" si="2"/>
        <v>0.38817733990147785</v>
      </c>
      <c r="T7" s="7"/>
      <c r="U7" s="7">
        <v>1.5107913669064749E-2</v>
      </c>
    </row>
    <row r="8" spans="1:21">
      <c r="A8" s="51" t="s">
        <v>26</v>
      </c>
      <c r="B8" s="51" t="s">
        <v>32</v>
      </c>
      <c r="C8" s="51" t="s">
        <v>33</v>
      </c>
      <c r="D8" s="51" t="s">
        <v>57</v>
      </c>
      <c r="E8" s="51" t="s">
        <v>10</v>
      </c>
      <c r="F8" s="51" t="s">
        <v>148</v>
      </c>
      <c r="G8" s="51" t="s">
        <v>117</v>
      </c>
      <c r="H8" s="6">
        <f t="shared" si="0"/>
        <v>1025.28855</v>
      </c>
      <c r="I8" s="7"/>
      <c r="J8" s="51" t="s">
        <v>53</v>
      </c>
      <c r="K8" s="6">
        <v>19.5</v>
      </c>
      <c r="L8" s="18">
        <v>47</v>
      </c>
      <c r="M8" s="6">
        <f>K8*1.1187</f>
        <v>21.81465</v>
      </c>
      <c r="N8" s="6">
        <v>20.56</v>
      </c>
      <c r="O8" s="6">
        <f>N8*B19</f>
        <v>24.402664000000001</v>
      </c>
      <c r="P8" s="6">
        <f t="shared" si="1"/>
        <v>1146.9252080000001</v>
      </c>
      <c r="Q8" s="7"/>
      <c r="R8" s="33"/>
      <c r="S8" s="7">
        <f t="shared" si="2"/>
        <v>0.11863651261881362</v>
      </c>
      <c r="T8" s="7"/>
      <c r="U8" s="7">
        <v>2.4022609514837492E-2</v>
      </c>
    </row>
    <row r="9" spans="1:21">
      <c r="A9" s="51" t="s">
        <v>46</v>
      </c>
      <c r="B9" s="51" t="s">
        <v>150</v>
      </c>
      <c r="C9" s="51" t="s">
        <v>151</v>
      </c>
      <c r="D9" s="51" t="s">
        <v>152</v>
      </c>
      <c r="E9" s="51" t="s">
        <v>10</v>
      </c>
      <c r="F9" s="51" t="s">
        <v>112</v>
      </c>
      <c r="G9" s="51" t="s">
        <v>16</v>
      </c>
      <c r="H9" s="6">
        <f t="shared" si="0"/>
        <v>907.6</v>
      </c>
      <c r="I9" s="7"/>
      <c r="J9" s="51" t="s">
        <v>60</v>
      </c>
      <c r="K9" s="6">
        <v>453.8</v>
      </c>
      <c r="L9" s="18">
        <v>2</v>
      </c>
      <c r="M9" s="6">
        <f>K9</f>
        <v>453.8</v>
      </c>
      <c r="N9" s="6">
        <v>494.4</v>
      </c>
      <c r="O9" s="6">
        <f>N9</f>
        <v>494.4</v>
      </c>
      <c r="P9" s="6">
        <f t="shared" si="1"/>
        <v>988.8</v>
      </c>
      <c r="Q9" s="7"/>
      <c r="R9" s="33"/>
      <c r="S9" s="7">
        <f t="shared" si="2"/>
        <v>8.9466725429704644E-2</v>
      </c>
      <c r="T9" s="7"/>
      <c r="U9" s="7">
        <v>6.2397708674304412E-3</v>
      </c>
    </row>
    <row r="10" spans="1:21">
      <c r="A10" s="51" t="s">
        <v>38</v>
      </c>
      <c r="B10" s="51" t="s">
        <v>153</v>
      </c>
      <c r="C10" s="51" t="s">
        <v>141</v>
      </c>
      <c r="D10" s="51" t="s">
        <v>154</v>
      </c>
      <c r="E10" s="51" t="s">
        <v>20</v>
      </c>
      <c r="F10" s="51" t="s">
        <v>21</v>
      </c>
      <c r="G10" s="51" t="s">
        <v>22</v>
      </c>
      <c r="H10" s="6">
        <f t="shared" si="0"/>
        <v>990.784312</v>
      </c>
      <c r="I10" s="7"/>
      <c r="J10" s="51" t="s">
        <v>155</v>
      </c>
      <c r="K10" s="6">
        <v>43.61</v>
      </c>
      <c r="L10" s="18">
        <v>28</v>
      </c>
      <c r="M10" s="6">
        <f>K10*0.8114</f>
        <v>35.385154</v>
      </c>
      <c r="N10" s="6">
        <v>44.22</v>
      </c>
      <c r="O10" s="6">
        <f>N10*B18</f>
        <v>39.859907999999997</v>
      </c>
      <c r="P10" s="6">
        <f t="shared" si="1"/>
        <v>1116.0774239999998</v>
      </c>
      <c r="Q10" s="7"/>
      <c r="R10" s="28"/>
      <c r="S10" s="7">
        <f t="shared" si="2"/>
        <v>0.12645851421192048</v>
      </c>
      <c r="T10" s="7"/>
      <c r="U10" s="7">
        <v>3.2222467446479802E-2</v>
      </c>
    </row>
    <row r="11" spans="1:21" ht="30">
      <c r="A11" s="51" t="s">
        <v>38</v>
      </c>
      <c r="B11" s="52" t="s">
        <v>105</v>
      </c>
      <c r="C11" s="51" t="s">
        <v>106</v>
      </c>
      <c r="D11" s="51" t="s">
        <v>107</v>
      </c>
      <c r="E11" s="51" t="s">
        <v>29</v>
      </c>
      <c r="F11" s="51" t="s">
        <v>108</v>
      </c>
      <c r="G11" s="51" t="s">
        <v>22</v>
      </c>
      <c r="H11" s="6">
        <f t="shared" si="0"/>
        <v>922.82144799999992</v>
      </c>
      <c r="I11" s="7"/>
      <c r="J11" s="51" t="s">
        <v>60</v>
      </c>
      <c r="K11" s="6">
        <v>284.33</v>
      </c>
      <c r="L11" s="18">
        <v>4</v>
      </c>
      <c r="M11" s="6">
        <f>K11*0.8114</f>
        <v>230.70536199999998</v>
      </c>
      <c r="N11" s="6">
        <v>312.08999999999997</v>
      </c>
      <c r="O11" s="6">
        <f>N11*B18</f>
        <v>281.31792599999994</v>
      </c>
      <c r="P11" s="6">
        <f t="shared" si="1"/>
        <v>1125.2717039999998</v>
      </c>
      <c r="Q11" s="7"/>
      <c r="R11" s="33"/>
      <c r="S11" s="7">
        <f t="shared" si="2"/>
        <v>0.21938182780511173</v>
      </c>
      <c r="T11" s="7"/>
      <c r="U11" s="7">
        <v>3.1079538246860335E-2</v>
      </c>
    </row>
    <row r="12" spans="1:21" s="4" customFormat="1">
      <c r="A12" s="10"/>
      <c r="B12" s="10"/>
      <c r="C12" s="10"/>
      <c r="D12" s="10"/>
      <c r="E12" s="10"/>
      <c r="F12" s="10"/>
      <c r="G12" s="10"/>
      <c r="H12" s="11">
        <f>SUM(H2:H11)</f>
        <v>9942.9761820000022</v>
      </c>
      <c r="I12" s="12">
        <f>SUM(I2:I11)</f>
        <v>0</v>
      </c>
      <c r="J12" s="10"/>
      <c r="K12" s="11"/>
      <c r="L12" s="19"/>
      <c r="M12" s="11"/>
      <c r="N12" s="11"/>
      <c r="O12" s="11"/>
      <c r="P12" s="11">
        <f>SUM(P2:P11)</f>
        <v>11536.141363999999</v>
      </c>
      <c r="Q12" s="12"/>
      <c r="R12" s="11"/>
      <c r="S12" s="12">
        <f t="shared" si="2"/>
        <v>0.16023021204497506</v>
      </c>
      <c r="T12" s="12">
        <v>8.8599999999999998E-2</v>
      </c>
      <c r="U12" s="12">
        <f>AVERAGE(U2:U11)</f>
        <v>2.390375409078619E-2</v>
      </c>
    </row>
    <row r="14" spans="1:21">
      <c r="A14" s="13" t="s">
        <v>72</v>
      </c>
      <c r="B14" s="14"/>
      <c r="C14" s="14"/>
      <c r="D14" s="14"/>
      <c r="E14" s="14"/>
      <c r="F14" s="14"/>
      <c r="G14" s="14"/>
      <c r="H14" s="15"/>
      <c r="I14" s="16"/>
      <c r="J14" s="50" t="s">
        <v>125</v>
      </c>
      <c r="K14" s="15">
        <v>2089.9699999999998</v>
      </c>
      <c r="L14" s="20"/>
      <c r="M14" s="15"/>
      <c r="N14" s="15">
        <f>'170830_langfr_Geldanlage'!N14</f>
        <v>2289.67</v>
      </c>
      <c r="O14" s="15"/>
      <c r="P14" s="15"/>
      <c r="Q14" s="16"/>
      <c r="R14" s="24"/>
      <c r="S14" s="16">
        <f>(N14-K14)/K14</f>
        <v>9.5551610788671748E-2</v>
      </c>
      <c r="T14" s="16">
        <v>5.3499999999999999E-2</v>
      </c>
    </row>
    <row r="17" spans="1:3">
      <c r="A17" s="35" t="s">
        <v>116</v>
      </c>
      <c r="B17" s="35"/>
    </row>
    <row r="18" spans="1:3">
      <c r="A18" s="35" t="s">
        <v>22</v>
      </c>
      <c r="B18" s="35">
        <f>'170830_langfr_Geldanlage'!B18</f>
        <v>0.90139999999999998</v>
      </c>
    </row>
    <row r="19" spans="1:3">
      <c r="A19" s="35" t="s">
        <v>118</v>
      </c>
      <c r="B19" s="1">
        <f>'170830_langfr_Geldanlage'!B19</f>
        <v>1.1869000000000001</v>
      </c>
    </row>
    <row r="20" spans="1:3">
      <c r="A20" s="48" t="s">
        <v>14</v>
      </c>
      <c r="B20" s="35">
        <v>0.61870000000000003</v>
      </c>
    </row>
    <row r="21" spans="1:3">
      <c r="A21" s="35" t="s">
        <v>42</v>
      </c>
      <c r="B21" s="1">
        <f>'170830_langfr_Geldanlage'!B21</f>
        <v>0.68369999999999997</v>
      </c>
    </row>
    <row r="24" spans="1:3">
      <c r="A24" s="48" t="s">
        <v>123</v>
      </c>
      <c r="B24" s="49">
        <f>'170830_langfr_Geldanlage'!B25</f>
        <v>43810</v>
      </c>
      <c r="C24" s="53" t="str">
        <f>'171004_langfr_Geldanlage'!C22</f>
        <v>19:15 Uhr</v>
      </c>
    </row>
    <row r="25" spans="1:3">
      <c r="A25" s="48" t="s">
        <v>124</v>
      </c>
      <c r="B25" s="2">
        <v>1.75</v>
      </c>
    </row>
  </sheetData>
  <phoneticPr fontId="20" type="noConversion"/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4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11" sqref="S11"/>
    </sheetView>
  </sheetViews>
  <sheetFormatPr baseColWidth="10" defaultRowHeight="15" x14ac:dyDescent="0"/>
  <cols>
    <col min="1" max="1" width="19" style="1" bestFit="1" customWidth="1"/>
    <col min="2" max="2" width="41" style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58" t="s">
        <v>168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120</v>
      </c>
      <c r="O1" s="47" t="s">
        <v>121</v>
      </c>
      <c r="P1" s="47" t="s">
        <v>122</v>
      </c>
      <c r="Q1" s="7" t="s">
        <v>3</v>
      </c>
      <c r="R1" s="9" t="s">
        <v>70</v>
      </c>
      <c r="S1" s="23" t="s">
        <v>74</v>
      </c>
      <c r="T1" s="68" t="s">
        <v>231</v>
      </c>
    </row>
    <row r="2" spans="1:20" ht="30">
      <c r="A2" s="56" t="s">
        <v>131</v>
      </c>
      <c r="B2" s="57" t="s">
        <v>173</v>
      </c>
      <c r="C2" s="56" t="s">
        <v>159</v>
      </c>
      <c r="D2" s="56" t="s">
        <v>161</v>
      </c>
      <c r="E2" s="56" t="s">
        <v>10</v>
      </c>
      <c r="F2" s="56" t="s">
        <v>15</v>
      </c>
      <c r="G2" s="56" t="s">
        <v>16</v>
      </c>
      <c r="H2" s="6">
        <f t="shared" ref="H2:H10" si="0">M2*L2</f>
        <v>1046.6500000000001</v>
      </c>
      <c r="I2" s="7">
        <f>H2/H11</f>
        <v>0.11321168800391755</v>
      </c>
      <c r="J2" s="56" t="s">
        <v>158</v>
      </c>
      <c r="K2" s="6">
        <v>95.15</v>
      </c>
      <c r="L2" s="18">
        <v>11</v>
      </c>
      <c r="M2" s="6">
        <f>K2</f>
        <v>95.15</v>
      </c>
      <c r="N2" s="6">
        <v>86.2</v>
      </c>
      <c r="O2" s="6">
        <f>N2</f>
        <v>86.2</v>
      </c>
      <c r="P2" s="6">
        <f t="shared" ref="P2:P10" si="1">L2*O2</f>
        <v>948.2</v>
      </c>
      <c r="Q2" s="7"/>
      <c r="R2" s="7">
        <f t="shared" ref="R2:R11" si="2">(P2-H2)/H2</f>
        <v>-9.4062007356805075E-2</v>
      </c>
      <c r="S2" s="7"/>
      <c r="T2" s="7">
        <v>1.04E-2</v>
      </c>
    </row>
    <row r="3" spans="1:20" ht="30">
      <c r="A3" s="56" t="s">
        <v>4</v>
      </c>
      <c r="B3" s="57" t="s">
        <v>177</v>
      </c>
      <c r="C3" s="57" t="s">
        <v>178</v>
      </c>
      <c r="D3" s="56" t="s">
        <v>179</v>
      </c>
      <c r="E3" s="56" t="s">
        <v>20</v>
      </c>
      <c r="F3" s="56" t="s">
        <v>21</v>
      </c>
      <c r="G3" s="56" t="s">
        <v>22</v>
      </c>
      <c r="H3" s="6">
        <f t="shared" si="0"/>
        <v>1011.1920280000001</v>
      </c>
      <c r="I3" s="7"/>
      <c r="J3" s="56" t="s">
        <v>180</v>
      </c>
      <c r="K3" s="6">
        <v>41.09</v>
      </c>
      <c r="L3" s="18">
        <v>28</v>
      </c>
      <c r="M3" s="6">
        <f>K3*0.8789</f>
        <v>36.114001000000002</v>
      </c>
      <c r="N3" s="6">
        <v>24.93</v>
      </c>
      <c r="O3" s="6">
        <f>N3*B17</f>
        <v>22.471902</v>
      </c>
      <c r="P3" s="6">
        <f t="shared" si="1"/>
        <v>629.213256</v>
      </c>
      <c r="Q3" s="7"/>
      <c r="R3" s="7">
        <f t="shared" si="2"/>
        <v>-0.3777509725383239</v>
      </c>
      <c r="S3" s="7"/>
      <c r="T3" s="7">
        <v>3.1809145129224656E-2</v>
      </c>
    </row>
    <row r="4" spans="1:20">
      <c r="A4" s="56" t="s">
        <v>4</v>
      </c>
      <c r="B4" s="56" t="s">
        <v>181</v>
      </c>
      <c r="C4" s="56" t="s">
        <v>182</v>
      </c>
      <c r="D4" s="56" t="s">
        <v>183</v>
      </c>
      <c r="E4" s="56" t="s">
        <v>10</v>
      </c>
      <c r="F4" s="56" t="s">
        <v>89</v>
      </c>
      <c r="G4" s="56" t="s">
        <v>90</v>
      </c>
      <c r="H4" s="6">
        <f t="shared" si="0"/>
        <v>994.99572000000012</v>
      </c>
      <c r="I4" s="7">
        <f>(H3+H4)/H11</f>
        <v>0.21700081345612954</v>
      </c>
      <c r="J4" s="56" t="s">
        <v>193</v>
      </c>
      <c r="K4" s="6">
        <v>66.45</v>
      </c>
      <c r="L4" s="18">
        <v>17</v>
      </c>
      <c r="M4" s="6">
        <f>K4*0.8808</f>
        <v>58.529160000000005</v>
      </c>
      <c r="N4" s="6">
        <v>67.5</v>
      </c>
      <c r="O4" s="6">
        <f>N4*B19</f>
        <v>61.695</v>
      </c>
      <c r="P4" s="6">
        <f t="shared" si="1"/>
        <v>1048.8150000000001</v>
      </c>
      <c r="Q4" s="7"/>
      <c r="R4" s="7">
        <f t="shared" si="2"/>
        <v>5.4089961311592306E-2</v>
      </c>
      <c r="S4" s="7"/>
      <c r="T4" s="7">
        <v>4.5088566827697261E-2</v>
      </c>
    </row>
    <row r="5" spans="1:20">
      <c r="A5" s="56" t="s">
        <v>119</v>
      </c>
      <c r="B5" s="56" t="s">
        <v>185</v>
      </c>
      <c r="C5" s="56" t="s">
        <v>184</v>
      </c>
      <c r="D5" s="56" t="s">
        <v>186</v>
      </c>
      <c r="E5" s="56" t="s">
        <v>20</v>
      </c>
      <c r="F5" s="56" t="s">
        <v>21</v>
      </c>
      <c r="G5" s="56" t="s">
        <v>22</v>
      </c>
      <c r="H5" s="6">
        <f t="shared" si="0"/>
        <v>1017.9771360000001</v>
      </c>
      <c r="I5" s="7">
        <f>H5/H11</f>
        <v>0.11011026600673916</v>
      </c>
      <c r="J5" s="56" t="s">
        <v>187</v>
      </c>
      <c r="K5" s="6">
        <v>60.96</v>
      </c>
      <c r="L5" s="18">
        <v>19</v>
      </c>
      <c r="M5" s="6">
        <f>K5*0.8789</f>
        <v>53.577744000000003</v>
      </c>
      <c r="N5" s="6">
        <v>88.56</v>
      </c>
      <c r="O5" s="6">
        <f>N5*B17</f>
        <v>79.827984000000001</v>
      </c>
      <c r="P5" s="6">
        <f t="shared" si="1"/>
        <v>1516.7316960000001</v>
      </c>
      <c r="Q5" s="7"/>
      <c r="R5" s="7">
        <f t="shared" si="2"/>
        <v>0.48994672116093568</v>
      </c>
      <c r="S5" s="7"/>
      <c r="T5" s="7">
        <v>1.7799532762264991E-2</v>
      </c>
    </row>
    <row r="6" spans="1:20">
      <c r="A6" s="56" t="s">
        <v>165</v>
      </c>
      <c r="B6" s="56" t="s">
        <v>171</v>
      </c>
      <c r="C6" s="56" t="s">
        <v>166</v>
      </c>
      <c r="D6" s="56" t="s">
        <v>167</v>
      </c>
      <c r="E6" s="56" t="s">
        <v>29</v>
      </c>
      <c r="F6" s="56" t="s">
        <v>108</v>
      </c>
      <c r="G6" s="56" t="s">
        <v>22</v>
      </c>
      <c r="H6" s="6">
        <f t="shared" si="0"/>
        <v>1058.1340770000002</v>
      </c>
      <c r="I6" s="7">
        <f>H6/H11</f>
        <v>0.11445387186895073</v>
      </c>
      <c r="J6" s="56" t="s">
        <v>169</v>
      </c>
      <c r="K6" s="6">
        <v>171.99</v>
      </c>
      <c r="L6" s="18">
        <v>7</v>
      </c>
      <c r="M6" s="6">
        <f>K6*0.8789</f>
        <v>151.16201100000001</v>
      </c>
      <c r="N6" s="6">
        <v>203.52</v>
      </c>
      <c r="O6" s="6">
        <f>N6*B17</f>
        <v>183.45292800000001</v>
      </c>
      <c r="P6" s="6">
        <f t="shared" si="1"/>
        <v>1284.1704960000002</v>
      </c>
      <c r="Q6" s="7"/>
      <c r="R6" s="7">
        <f t="shared" si="2"/>
        <v>0.21361793737978255</v>
      </c>
      <c r="S6" s="7"/>
      <c r="T6" s="7">
        <v>0</v>
      </c>
    </row>
    <row r="7" spans="1:20" ht="30">
      <c r="A7" s="56" t="s">
        <v>26</v>
      </c>
      <c r="B7" s="57" t="s">
        <v>172</v>
      </c>
      <c r="C7" s="56" t="s">
        <v>162</v>
      </c>
      <c r="D7" s="56" t="s">
        <v>163</v>
      </c>
      <c r="E7" s="56" t="s">
        <v>20</v>
      </c>
      <c r="F7" s="56" t="s">
        <v>21</v>
      </c>
      <c r="G7" s="56" t="s">
        <v>22</v>
      </c>
      <c r="H7" s="6">
        <f t="shared" si="0"/>
        <v>1071.2912100000001</v>
      </c>
      <c r="I7" s="7"/>
      <c r="J7" s="56" t="s">
        <v>164</v>
      </c>
      <c r="K7" s="6">
        <v>203.15</v>
      </c>
      <c r="L7" s="18">
        <v>6</v>
      </c>
      <c r="M7" s="6">
        <f>K7*0.8789</f>
        <v>178.54853500000002</v>
      </c>
      <c r="N7" s="6">
        <v>167.95</v>
      </c>
      <c r="O7" s="6">
        <f>N7*B17</f>
        <v>151.39013</v>
      </c>
      <c r="P7" s="6">
        <f t="shared" si="1"/>
        <v>908.34078</v>
      </c>
      <c r="Q7" s="7"/>
      <c r="R7" s="7">
        <f t="shared" si="2"/>
        <v>-0.15210656867052991</v>
      </c>
      <c r="S7" s="7"/>
      <c r="T7" s="7">
        <v>3.5341933203746241E-2</v>
      </c>
    </row>
    <row r="8" spans="1:20" ht="30">
      <c r="A8" s="56" t="s">
        <v>26</v>
      </c>
      <c r="B8" s="57" t="s">
        <v>188</v>
      </c>
      <c r="C8" s="56" t="s">
        <v>189</v>
      </c>
      <c r="D8" s="56" t="s">
        <v>190</v>
      </c>
      <c r="E8" s="56" t="s">
        <v>10</v>
      </c>
      <c r="F8" s="56" t="s">
        <v>49</v>
      </c>
      <c r="G8" s="56" t="s">
        <v>50</v>
      </c>
      <c r="H8" s="6">
        <f t="shared" si="0"/>
        <v>1007.8210499999999</v>
      </c>
      <c r="I8" s="7">
        <f>(H7+H8)/H11</f>
        <v>0.22488874839176409</v>
      </c>
      <c r="J8" s="56" t="s">
        <v>191</v>
      </c>
      <c r="K8" s="6">
        <v>181.95</v>
      </c>
      <c r="L8" s="18">
        <v>58</v>
      </c>
      <c r="M8" s="6">
        <f>K8*0.0955</f>
        <v>17.376224999999998</v>
      </c>
      <c r="N8" s="6">
        <v>219.7</v>
      </c>
      <c r="O8" s="6">
        <f>N8*B20</f>
        <v>20.981349999999999</v>
      </c>
      <c r="P8" s="6">
        <f t="shared" si="1"/>
        <v>1216.9183</v>
      </c>
      <c r="Q8" s="7"/>
      <c r="R8" s="7">
        <f t="shared" si="2"/>
        <v>0.20747458092882676</v>
      </c>
      <c r="S8" s="7"/>
      <c r="T8" s="7">
        <v>1.6224512168384126E-2</v>
      </c>
    </row>
    <row r="9" spans="1:20" ht="30">
      <c r="A9" s="56" t="s">
        <v>38</v>
      </c>
      <c r="B9" s="57" t="s">
        <v>170</v>
      </c>
      <c r="C9" s="56" t="s">
        <v>174</v>
      </c>
      <c r="D9" s="56" t="s">
        <v>175</v>
      </c>
      <c r="E9" s="56" t="s">
        <v>29</v>
      </c>
      <c r="F9" s="56" t="s">
        <v>108</v>
      </c>
      <c r="G9" s="56" t="s">
        <v>22</v>
      </c>
      <c r="H9" s="6">
        <f t="shared" si="0"/>
        <v>1010.9107800000002</v>
      </c>
      <c r="I9" s="7"/>
      <c r="J9" s="56" t="s">
        <v>176</v>
      </c>
      <c r="K9" s="6">
        <v>42.6</v>
      </c>
      <c r="L9" s="18">
        <v>27</v>
      </c>
      <c r="M9" s="6">
        <f>K9*0.8789</f>
        <v>37.441140000000004</v>
      </c>
      <c r="N9" s="6">
        <v>43.65</v>
      </c>
      <c r="O9" s="6">
        <f>N9*B17</f>
        <v>39.346109999999996</v>
      </c>
      <c r="P9" s="6">
        <f t="shared" si="1"/>
        <v>1062.3449699999999</v>
      </c>
      <c r="Q9" s="7"/>
      <c r="R9" s="7">
        <f t="shared" si="2"/>
        <v>5.0879059772218183E-2</v>
      </c>
      <c r="S9" s="7"/>
      <c r="T9" s="7">
        <v>3.470776882580919E-3</v>
      </c>
    </row>
    <row r="10" spans="1:20" ht="30">
      <c r="A10" s="56" t="s">
        <v>38</v>
      </c>
      <c r="B10" s="57" t="s">
        <v>157</v>
      </c>
      <c r="C10" s="56" t="s">
        <v>156</v>
      </c>
      <c r="D10" s="56" t="s">
        <v>160</v>
      </c>
      <c r="E10" s="56" t="s">
        <v>20</v>
      </c>
      <c r="F10" s="56" t="s">
        <v>21</v>
      </c>
      <c r="G10" s="56" t="s">
        <v>22</v>
      </c>
      <c r="H10" s="6">
        <f t="shared" si="0"/>
        <v>1026.098172</v>
      </c>
      <c r="I10" s="7">
        <f>(H9+H10)/H11</f>
        <v>0.22033461227249898</v>
      </c>
      <c r="J10" s="56" t="s">
        <v>158</v>
      </c>
      <c r="K10" s="6">
        <v>64.86</v>
      </c>
      <c r="L10" s="18">
        <v>18</v>
      </c>
      <c r="M10" s="6">
        <f>K10*0.8789</f>
        <v>57.005454</v>
      </c>
      <c r="N10" s="6">
        <v>71.599999999999994</v>
      </c>
      <c r="O10" s="6">
        <f>N10*B17</f>
        <v>64.540239999999997</v>
      </c>
      <c r="P10" s="6">
        <f t="shared" si="1"/>
        <v>1161.72432</v>
      </c>
      <c r="Q10" s="7"/>
      <c r="R10" s="7">
        <f t="shared" si="2"/>
        <v>0.13217658085838599</v>
      </c>
      <c r="S10" s="7"/>
      <c r="T10" s="7">
        <v>1.1174745076127951E-2</v>
      </c>
    </row>
    <row r="11" spans="1:20" s="4" customFormat="1">
      <c r="A11" s="10"/>
      <c r="B11" s="10"/>
      <c r="C11" s="10"/>
      <c r="D11" s="10"/>
      <c r="E11" s="10"/>
      <c r="F11" s="10"/>
      <c r="G11" s="10"/>
      <c r="H11" s="11">
        <f>SUM(H2:H10)</f>
        <v>9245.0701730000001</v>
      </c>
      <c r="I11" s="12">
        <f>SUM(I2:I10)</f>
        <v>1</v>
      </c>
      <c r="J11" s="10"/>
      <c r="K11" s="11"/>
      <c r="L11" s="19"/>
      <c r="M11" s="11"/>
      <c r="N11" s="11"/>
      <c r="O11" s="11"/>
      <c r="P11" s="11">
        <f>SUM(P2:P10)</f>
        <v>9776.4588179999992</v>
      </c>
      <c r="Q11" s="12"/>
      <c r="R11" s="12">
        <f t="shared" si="2"/>
        <v>5.7478054255543302E-2</v>
      </c>
      <c r="S11" s="12">
        <v>4.2900000000000001E-2</v>
      </c>
      <c r="T11" s="12">
        <f>AVERAGE(T2:T10)</f>
        <v>1.9034356894447348E-2</v>
      </c>
    </row>
    <row r="13" spans="1:20">
      <c r="A13" s="13" t="s">
        <v>72</v>
      </c>
      <c r="B13" s="14"/>
      <c r="C13" s="14"/>
      <c r="D13" s="14"/>
      <c r="E13" s="14"/>
      <c r="F13" s="14"/>
      <c r="G13" s="14"/>
      <c r="H13" s="15"/>
      <c r="I13" s="16"/>
      <c r="J13" s="55" t="s">
        <v>192</v>
      </c>
      <c r="K13" s="15">
        <v>2131.0500000000002</v>
      </c>
      <c r="L13" s="20"/>
      <c r="M13" s="15"/>
      <c r="N13" s="15">
        <f>'170830_langfr_Geldanlage'!N14</f>
        <v>2289.67</v>
      </c>
      <c r="O13" s="15"/>
      <c r="P13" s="15"/>
      <c r="Q13" s="16"/>
      <c r="R13" s="16">
        <f>(N13-K13)/K13</f>
        <v>7.4432791346988519E-2</v>
      </c>
      <c r="S13" s="16">
        <v>5.5500000000000001E-2</v>
      </c>
    </row>
    <row r="16" spans="1:20">
      <c r="A16" s="35" t="s">
        <v>116</v>
      </c>
      <c r="B16" s="35"/>
    </row>
    <row r="17" spans="1:3">
      <c r="A17" s="35" t="s">
        <v>22</v>
      </c>
      <c r="B17" s="35">
        <f>'170830_langfr_Geldanlage'!B18</f>
        <v>0.90139999999999998</v>
      </c>
    </row>
    <row r="18" spans="1:3">
      <c r="A18" s="35" t="s">
        <v>118</v>
      </c>
      <c r="B18" s="1">
        <f>'170830_langfr_Geldanlage'!B19</f>
        <v>1.1869000000000001</v>
      </c>
    </row>
    <row r="19" spans="1:3">
      <c r="A19" s="59" t="s">
        <v>90</v>
      </c>
      <c r="B19" s="35">
        <f>'171004_langfr_Geldanlage'!B18</f>
        <v>0.91400000000000003</v>
      </c>
    </row>
    <row r="20" spans="1:3">
      <c r="A20" s="59" t="s">
        <v>50</v>
      </c>
      <c r="B20" s="1">
        <f>'170830_langfr_Geldanlage'!B22</f>
        <v>9.5500000000000002E-2</v>
      </c>
    </row>
    <row r="23" spans="1:3">
      <c r="A23" s="48" t="s">
        <v>123</v>
      </c>
      <c r="B23" s="49">
        <f>'170830_langfr_Geldanlage'!B25</f>
        <v>43810</v>
      </c>
      <c r="C23" s="53" t="str">
        <f>'171004_langfr_Geldanlage'!C22</f>
        <v>19:15 Uhr</v>
      </c>
    </row>
    <row r="24" spans="1:3">
      <c r="A24" s="48" t="s">
        <v>124</v>
      </c>
      <c r="B24" s="2">
        <v>1.33</v>
      </c>
    </row>
  </sheetData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4"/>
  <sheetViews>
    <sheetView tabSelected="1"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11" sqref="S11"/>
    </sheetView>
  </sheetViews>
  <sheetFormatPr baseColWidth="10" defaultRowHeight="15" x14ac:dyDescent="0"/>
  <cols>
    <col min="1" max="1" width="19" style="1" bestFit="1" customWidth="1"/>
    <col min="2" max="2" width="41.83203125" style="1" customWidth="1"/>
    <col min="3" max="3" width="25.33203125" style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66" t="s">
        <v>226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120</v>
      </c>
      <c r="O1" s="47" t="s">
        <v>121</v>
      </c>
      <c r="P1" s="47" t="s">
        <v>122</v>
      </c>
      <c r="Q1" s="7" t="s">
        <v>3</v>
      </c>
      <c r="R1" s="9" t="s">
        <v>70</v>
      </c>
      <c r="S1" s="23" t="s">
        <v>74</v>
      </c>
      <c r="T1" s="68" t="s">
        <v>231</v>
      </c>
    </row>
    <row r="2" spans="1:20" ht="30" customHeight="1">
      <c r="A2" s="64" t="s">
        <v>4</v>
      </c>
      <c r="B2" s="63" t="s">
        <v>216</v>
      </c>
      <c r="C2" s="64" t="s">
        <v>217</v>
      </c>
      <c r="D2" s="64" t="s">
        <v>218</v>
      </c>
      <c r="E2" s="64" t="s">
        <v>10</v>
      </c>
      <c r="F2" s="64" t="s">
        <v>112</v>
      </c>
      <c r="G2" s="56" t="s">
        <v>16</v>
      </c>
      <c r="H2" s="6">
        <f t="shared" ref="H2:H10" si="0">M2*L2</f>
        <v>1033.3399999999999</v>
      </c>
      <c r="I2" s="7"/>
      <c r="J2" s="64" t="s">
        <v>219</v>
      </c>
      <c r="K2" s="6">
        <v>93.94</v>
      </c>
      <c r="L2" s="18">
        <v>11</v>
      </c>
      <c r="M2" s="6">
        <f>K2</f>
        <v>93.94</v>
      </c>
      <c r="N2" s="6">
        <v>111.9</v>
      </c>
      <c r="O2" s="6">
        <f>N2</f>
        <v>111.9</v>
      </c>
      <c r="P2" s="6">
        <f t="shared" ref="P2:P10" si="1">L2*O2</f>
        <v>1230.9000000000001</v>
      </c>
      <c r="Q2" s="7"/>
      <c r="R2" s="7">
        <f t="shared" ref="R2:R11" si="2">(P2-H2)/H2</f>
        <v>0.19118586331701104</v>
      </c>
      <c r="S2" s="7"/>
      <c r="T2" s="7">
        <v>1.1576135351736421E-2</v>
      </c>
    </row>
    <row r="3" spans="1:20">
      <c r="A3" s="56" t="s">
        <v>4</v>
      </c>
      <c r="B3" s="63" t="s">
        <v>207</v>
      </c>
      <c r="C3" s="63" t="s">
        <v>208</v>
      </c>
      <c r="D3" s="64" t="s">
        <v>209</v>
      </c>
      <c r="E3" s="64" t="s">
        <v>10</v>
      </c>
      <c r="F3" s="64" t="s">
        <v>15</v>
      </c>
      <c r="G3" s="64" t="s">
        <v>16</v>
      </c>
      <c r="H3" s="6">
        <f t="shared" si="0"/>
        <v>1014.7500000000001</v>
      </c>
      <c r="I3" s="7">
        <f>(H2+H3)/H11</f>
        <v>0.22135271582297517</v>
      </c>
      <c r="J3" s="64" t="s">
        <v>210</v>
      </c>
      <c r="K3" s="6">
        <v>67.650000000000006</v>
      </c>
      <c r="L3" s="18">
        <v>15</v>
      </c>
      <c r="M3" s="6">
        <f>K3</f>
        <v>67.650000000000006</v>
      </c>
      <c r="N3" s="6">
        <v>67.400000000000006</v>
      </c>
      <c r="O3" s="6">
        <f>N3</f>
        <v>67.400000000000006</v>
      </c>
      <c r="P3" s="6">
        <f t="shared" si="1"/>
        <v>1011.0000000000001</v>
      </c>
      <c r="Q3" s="7"/>
      <c r="R3" s="7">
        <f t="shared" si="2"/>
        <v>-3.6954915003695487E-3</v>
      </c>
      <c r="S3" s="7"/>
      <c r="T3" s="7">
        <v>4.771692849801791E-2</v>
      </c>
    </row>
    <row r="4" spans="1:20">
      <c r="A4" s="62" t="s">
        <v>119</v>
      </c>
      <c r="B4" s="62" t="s">
        <v>203</v>
      </c>
      <c r="C4" s="62" t="s">
        <v>202</v>
      </c>
      <c r="D4" s="69" t="s">
        <v>230</v>
      </c>
      <c r="E4" s="62" t="s">
        <v>10</v>
      </c>
      <c r="F4" s="62" t="s">
        <v>34</v>
      </c>
      <c r="G4" s="62" t="s">
        <v>117</v>
      </c>
      <c r="H4" s="6">
        <f t="shared" si="0"/>
        <v>1024.740288</v>
      </c>
      <c r="I4" s="7">
        <f>(H4)/H11</f>
        <v>0.11075150299157639</v>
      </c>
      <c r="J4" s="64" t="s">
        <v>224</v>
      </c>
      <c r="K4" s="6">
        <v>41.47</v>
      </c>
      <c r="L4" s="18">
        <v>22</v>
      </c>
      <c r="M4" s="6">
        <f>K4*1.1232</f>
        <v>46.579104000000001</v>
      </c>
      <c r="N4" s="6">
        <v>48.08</v>
      </c>
      <c r="O4" s="6">
        <f>N4*B18</f>
        <v>57.066152000000002</v>
      </c>
      <c r="P4" s="6">
        <f t="shared" si="1"/>
        <v>1255.455344</v>
      </c>
      <c r="Q4" s="7"/>
      <c r="R4" s="7">
        <f t="shared" si="2"/>
        <v>0.22514490617938895</v>
      </c>
      <c r="S4" s="7"/>
      <c r="T4" s="7">
        <v>2.3167565408428202E-2</v>
      </c>
    </row>
    <row r="5" spans="1:20">
      <c r="A5" s="56" t="s">
        <v>119</v>
      </c>
      <c r="B5" s="62" t="s">
        <v>198</v>
      </c>
      <c r="C5" s="62" t="s">
        <v>199</v>
      </c>
      <c r="D5" s="62" t="s">
        <v>200</v>
      </c>
      <c r="E5" s="56" t="s">
        <v>20</v>
      </c>
      <c r="F5" s="56" t="s">
        <v>21</v>
      </c>
      <c r="G5" s="56" t="s">
        <v>22</v>
      </c>
      <c r="H5" s="6">
        <f t="shared" si="0"/>
        <v>1045.1644920000001</v>
      </c>
      <c r="I5" s="7">
        <f>H5/H11</f>
        <v>0.11295890258042381</v>
      </c>
      <c r="J5" s="62" t="s">
        <v>201</v>
      </c>
      <c r="K5" s="6">
        <v>66.39</v>
      </c>
      <c r="L5" s="18">
        <v>18</v>
      </c>
      <c r="M5" s="6">
        <f>K5*0.8746</f>
        <v>58.064694000000003</v>
      </c>
      <c r="N5" s="6">
        <v>82.54</v>
      </c>
      <c r="O5" s="6">
        <f>N5*B17</f>
        <v>74.401555999999999</v>
      </c>
      <c r="P5" s="6">
        <f t="shared" si="1"/>
        <v>1339.228008</v>
      </c>
      <c r="Q5" s="7"/>
      <c r="R5" s="7">
        <f t="shared" si="2"/>
        <v>0.28135620588993365</v>
      </c>
      <c r="S5" s="7"/>
      <c r="T5" s="7">
        <v>2.23463687150838E-2</v>
      </c>
    </row>
    <row r="6" spans="1:20">
      <c r="A6" s="56" t="s">
        <v>165</v>
      </c>
      <c r="B6" s="64" t="s">
        <v>212</v>
      </c>
      <c r="C6" s="64" t="s">
        <v>213</v>
      </c>
      <c r="D6" s="64" t="s">
        <v>214</v>
      </c>
      <c r="E6" s="64" t="s">
        <v>10</v>
      </c>
      <c r="F6" s="64" t="s">
        <v>112</v>
      </c>
      <c r="G6" s="64" t="s">
        <v>16</v>
      </c>
      <c r="H6" s="6">
        <f t="shared" si="0"/>
        <v>1020.6</v>
      </c>
      <c r="I6" s="7">
        <f>H6/H11</f>
        <v>0.1103040304717705</v>
      </c>
      <c r="J6" s="64" t="s">
        <v>215</v>
      </c>
      <c r="K6" s="6">
        <v>255.15</v>
      </c>
      <c r="L6" s="18">
        <v>4</v>
      </c>
      <c r="M6" s="6">
        <f>K6</f>
        <v>255.15</v>
      </c>
      <c r="N6" s="6">
        <v>399.65</v>
      </c>
      <c r="O6" s="6">
        <f>N6</f>
        <v>399.65</v>
      </c>
      <c r="P6" s="6">
        <f t="shared" si="1"/>
        <v>1598.6</v>
      </c>
      <c r="Q6" s="7"/>
      <c r="R6" s="7">
        <f t="shared" si="2"/>
        <v>0.56633352929649217</v>
      </c>
      <c r="S6" s="7"/>
      <c r="T6" s="7">
        <v>1.5968554231666873E-2</v>
      </c>
    </row>
    <row r="7" spans="1:20" ht="30" customHeight="1">
      <c r="A7" s="56" t="s">
        <v>26</v>
      </c>
      <c r="B7" s="61" t="s">
        <v>197</v>
      </c>
      <c r="C7" s="62" t="s">
        <v>140</v>
      </c>
      <c r="D7" s="62" t="s">
        <v>146</v>
      </c>
      <c r="E7" s="62" t="s">
        <v>10</v>
      </c>
      <c r="F7" s="62" t="s">
        <v>15</v>
      </c>
      <c r="G7" s="62" t="s">
        <v>16</v>
      </c>
      <c r="H7" s="6">
        <f t="shared" si="0"/>
        <v>1027</v>
      </c>
      <c r="I7" s="7"/>
      <c r="J7" s="64" t="s">
        <v>225</v>
      </c>
      <c r="K7" s="6">
        <v>513.5</v>
      </c>
      <c r="L7" s="18">
        <v>2</v>
      </c>
      <c r="M7" s="6">
        <f>K7</f>
        <v>513.5</v>
      </c>
      <c r="N7" s="6">
        <f>'180302_langfr_Geldanlage'!N7</f>
        <v>704.5</v>
      </c>
      <c r="O7" s="6">
        <f>N7</f>
        <v>704.5</v>
      </c>
      <c r="P7" s="6">
        <f t="shared" si="1"/>
        <v>1409</v>
      </c>
      <c r="Q7" s="7"/>
      <c r="R7" s="7">
        <f t="shared" si="2"/>
        <v>0.37195715676728336</v>
      </c>
      <c r="S7" s="7"/>
      <c r="T7" s="7">
        <v>1.5107913669064749E-2</v>
      </c>
    </row>
    <row r="8" spans="1:20" ht="30">
      <c r="A8" s="56" t="s">
        <v>26</v>
      </c>
      <c r="B8" s="61" t="s">
        <v>194</v>
      </c>
      <c r="C8" s="62" t="s">
        <v>195</v>
      </c>
      <c r="D8" s="62" t="s">
        <v>196</v>
      </c>
      <c r="E8" s="56" t="s">
        <v>10</v>
      </c>
      <c r="F8" s="62" t="s">
        <v>89</v>
      </c>
      <c r="G8" s="62" t="s">
        <v>90</v>
      </c>
      <c r="H8" s="6">
        <f t="shared" si="0"/>
        <v>1049.1519000000001</v>
      </c>
      <c r="I8" s="7">
        <f>(H7+H8)/H11</f>
        <v>0.22438557950384497</v>
      </c>
      <c r="J8" s="64" t="s">
        <v>228</v>
      </c>
      <c r="K8" s="6">
        <v>198.5</v>
      </c>
      <c r="L8" s="18">
        <v>6</v>
      </c>
      <c r="M8" s="6">
        <f>K8*0.8809</f>
        <v>174.85865000000001</v>
      </c>
      <c r="N8" s="6">
        <v>249.8</v>
      </c>
      <c r="O8" s="6">
        <f>N8*B19</f>
        <v>228.31720000000001</v>
      </c>
      <c r="P8" s="6">
        <f t="shared" si="1"/>
        <v>1369.9032000000002</v>
      </c>
      <c r="Q8" s="7"/>
      <c r="R8" s="7">
        <f t="shared" si="2"/>
        <v>0.30572436650974955</v>
      </c>
      <c r="S8" s="7"/>
      <c r="T8" s="7">
        <v>1.6446048937023665E-2</v>
      </c>
    </row>
    <row r="9" spans="1:20">
      <c r="A9" s="62" t="s">
        <v>46</v>
      </c>
      <c r="B9" s="61" t="s">
        <v>204</v>
      </c>
      <c r="C9" s="62" t="s">
        <v>205</v>
      </c>
      <c r="D9" s="62" t="s">
        <v>206</v>
      </c>
      <c r="E9" s="62" t="s">
        <v>20</v>
      </c>
      <c r="F9" s="62" t="s">
        <v>21</v>
      </c>
      <c r="G9" s="56" t="s">
        <v>22</v>
      </c>
      <c r="H9" s="6">
        <f t="shared" si="0"/>
        <v>1085.3436160000001</v>
      </c>
      <c r="I9" s="7">
        <f>(H9)/H11</f>
        <v>0.11730136712875326</v>
      </c>
      <c r="J9" s="64" t="s">
        <v>229</v>
      </c>
      <c r="K9" s="6">
        <v>177.28</v>
      </c>
      <c r="L9" s="18">
        <v>7</v>
      </c>
      <c r="M9" s="6">
        <f>K9*0.8746</f>
        <v>155.04908800000001</v>
      </c>
      <c r="N9" s="6">
        <v>271.97000000000003</v>
      </c>
      <c r="O9" s="6">
        <f>N9*B17</f>
        <v>245.15375800000001</v>
      </c>
      <c r="P9" s="6">
        <f t="shared" si="1"/>
        <v>1716.0763060000002</v>
      </c>
      <c r="Q9" s="7"/>
      <c r="R9" s="7">
        <f t="shared" si="2"/>
        <v>0.58113640758725393</v>
      </c>
      <c r="S9" s="7"/>
      <c r="T9" s="7">
        <v>9.5220102021537894E-3</v>
      </c>
    </row>
    <row r="10" spans="1:20">
      <c r="A10" s="56" t="s">
        <v>38</v>
      </c>
      <c r="B10" s="63" t="s">
        <v>220</v>
      </c>
      <c r="C10" s="64" t="s">
        <v>211</v>
      </c>
      <c r="D10" s="64" t="s">
        <v>221</v>
      </c>
      <c r="E10" s="64" t="s">
        <v>20</v>
      </c>
      <c r="F10" s="64" t="s">
        <v>21</v>
      </c>
      <c r="G10" s="56" t="s">
        <v>22</v>
      </c>
      <c r="H10" s="6">
        <f t="shared" si="0"/>
        <v>952.5181140000002</v>
      </c>
      <c r="I10" s="7">
        <f>H10/H11</f>
        <v>0.10294590150065587</v>
      </c>
      <c r="J10" s="64" t="s">
        <v>222</v>
      </c>
      <c r="K10" s="6">
        <v>121.01</v>
      </c>
      <c r="L10" s="18">
        <v>9</v>
      </c>
      <c r="M10" s="6">
        <f>K10*0.8746</f>
        <v>105.83534600000002</v>
      </c>
      <c r="N10" s="6">
        <v>155.75</v>
      </c>
      <c r="O10" s="6">
        <f>N10*B17</f>
        <v>140.39304999999999</v>
      </c>
      <c r="P10" s="6">
        <f t="shared" si="1"/>
        <v>1263.5374499999998</v>
      </c>
      <c r="Q10" s="7"/>
      <c r="R10" s="7">
        <f t="shared" si="2"/>
        <v>0.32652327701560074</v>
      </c>
      <c r="S10" s="7"/>
      <c r="T10" s="7">
        <v>0</v>
      </c>
    </row>
    <row r="11" spans="1:20" s="4" customFormat="1">
      <c r="A11" s="10"/>
      <c r="B11" s="10"/>
      <c r="C11" s="10"/>
      <c r="D11" s="10"/>
      <c r="E11" s="10"/>
      <c r="F11" s="10"/>
      <c r="G11" s="10"/>
      <c r="H11" s="11">
        <f>SUM(H2:H10)</f>
        <v>9252.6084100000007</v>
      </c>
      <c r="I11" s="12">
        <f>SUM(I2:I10)</f>
        <v>0.99999999999999989</v>
      </c>
      <c r="J11" s="10"/>
      <c r="K11" s="11"/>
      <c r="L11" s="19"/>
      <c r="M11" s="11"/>
      <c r="N11" s="11"/>
      <c r="O11" s="11"/>
      <c r="P11" s="11">
        <f>SUM(P2:P10)</f>
        <v>12193.700308000001</v>
      </c>
      <c r="Q11" s="12"/>
      <c r="R11" s="12">
        <f t="shared" si="2"/>
        <v>0.31786624567633681</v>
      </c>
      <c r="S11" s="12">
        <v>0.29120000000000001</v>
      </c>
      <c r="T11" s="12">
        <f>AVERAGE(T2:T10)</f>
        <v>1.7983502779241715E-2</v>
      </c>
    </row>
    <row r="13" spans="1:20">
      <c r="A13" s="13" t="s">
        <v>72</v>
      </c>
      <c r="B13" s="14"/>
      <c r="C13" s="14"/>
      <c r="D13" s="14"/>
      <c r="E13" s="14"/>
      <c r="F13" s="14"/>
      <c r="G13" s="14"/>
      <c r="H13" s="15"/>
      <c r="I13" s="16"/>
      <c r="J13" s="65" t="s">
        <v>223</v>
      </c>
      <c r="K13" s="15">
        <v>2009.6</v>
      </c>
      <c r="L13" s="20"/>
      <c r="M13" s="15"/>
      <c r="N13" s="15">
        <f>'170830_langfr_Geldanlage'!N14</f>
        <v>2289.67</v>
      </c>
      <c r="O13" s="15"/>
      <c r="P13" s="15"/>
      <c r="Q13" s="16"/>
      <c r="R13" s="16">
        <f>(N13-K13)/K13</f>
        <v>0.13936604299363067</v>
      </c>
      <c r="S13" s="16">
        <v>0.12839999999999999</v>
      </c>
    </row>
    <row r="16" spans="1:20">
      <c r="A16" s="35" t="s">
        <v>116</v>
      </c>
      <c r="B16" s="35"/>
    </row>
    <row r="17" spans="1:3">
      <c r="A17" s="35" t="s">
        <v>22</v>
      </c>
      <c r="B17" s="35">
        <f>'170830_langfr_Geldanlage'!B18</f>
        <v>0.90139999999999998</v>
      </c>
    </row>
    <row r="18" spans="1:3">
      <c r="A18" s="35" t="s">
        <v>118</v>
      </c>
      <c r="B18" s="1">
        <f>'170830_langfr_Geldanlage'!B19</f>
        <v>1.1869000000000001</v>
      </c>
    </row>
    <row r="19" spans="1:3">
      <c r="A19" s="59" t="s">
        <v>90</v>
      </c>
      <c r="B19" s="35">
        <f>'171004_langfr_Geldanlage'!B18</f>
        <v>0.91400000000000003</v>
      </c>
    </row>
    <row r="20" spans="1:3">
      <c r="A20" s="59" t="s">
        <v>50</v>
      </c>
      <c r="B20" s="1">
        <f>'170830_langfr_Geldanlage'!B22</f>
        <v>9.5500000000000002E-2</v>
      </c>
    </row>
    <row r="23" spans="1:3">
      <c r="A23" s="48" t="s">
        <v>123</v>
      </c>
      <c r="B23" s="49">
        <f>'170830_langfr_Geldanlage'!B25</f>
        <v>43810</v>
      </c>
      <c r="C23" s="67" t="s">
        <v>227</v>
      </c>
    </row>
    <row r="24" spans="1:3">
      <c r="A24" s="48" t="s">
        <v>124</v>
      </c>
      <c r="B24" s="2">
        <v>1.08</v>
      </c>
    </row>
  </sheetData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170830_langfr_Geldanlage</vt:lpstr>
      <vt:lpstr>171004_langfr_Geldanlage</vt:lpstr>
      <vt:lpstr>180302_langfr_Geldanlage</vt:lpstr>
      <vt:lpstr>180817_langfr_Geldanlage</vt:lpstr>
      <vt:lpstr>181120_langfr_Geldanlage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Essing</dc:creator>
  <cp:lastModifiedBy>Uwe Essing</cp:lastModifiedBy>
  <dcterms:created xsi:type="dcterms:W3CDTF">2017-08-30T14:51:47Z</dcterms:created>
  <dcterms:modified xsi:type="dcterms:W3CDTF">2019-12-11T18:54:21Z</dcterms:modified>
</cp:coreProperties>
</file>