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4"/>
  </bookViews>
  <sheets>
    <sheet name="170830_langfr_Geldanlage" sheetId="1" r:id="rId1"/>
    <sheet name="171004_langfr_Geldanlage" sheetId="2" r:id="rId2"/>
    <sheet name="180302_langfr_Geldanlage" sheetId="6" r:id="rId3"/>
    <sheet name="180817_langfr_Geldanlage" sheetId="7" r:id="rId4"/>
    <sheet name="181120_langfr_Geldanlage" sheetId="9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" i="9" l="1"/>
  <c r="T1" i="7"/>
  <c r="U1" i="6"/>
  <c r="U1" i="2"/>
  <c r="K3" i="6"/>
  <c r="R14" i="1"/>
  <c r="T11" i="9"/>
  <c r="N7" i="9"/>
  <c r="T11" i="7"/>
  <c r="U12" i="6"/>
  <c r="U12" i="2"/>
  <c r="N13" i="9"/>
  <c r="M10" i="9"/>
  <c r="M9" i="9"/>
  <c r="M8" i="9"/>
  <c r="M5" i="9"/>
  <c r="M4" i="9"/>
  <c r="M2" i="9"/>
  <c r="H2" i="9"/>
  <c r="H10" i="9"/>
  <c r="H4" i="9"/>
  <c r="M7" i="9"/>
  <c r="H7" i="9"/>
  <c r="H8" i="9"/>
  <c r="H9" i="9"/>
  <c r="H5" i="9"/>
  <c r="M3" i="9"/>
  <c r="H3" i="9"/>
  <c r="M6" i="9"/>
  <c r="H6" i="9"/>
  <c r="H11" i="9"/>
  <c r="I10" i="9"/>
  <c r="O6" i="9"/>
  <c r="O3" i="9"/>
  <c r="I3" i="9"/>
  <c r="I9" i="9"/>
  <c r="B18" i="9"/>
  <c r="O4" i="9"/>
  <c r="I4" i="9"/>
  <c r="O7" i="9"/>
  <c r="B19" i="9"/>
  <c r="O8" i="9"/>
  <c r="B23" i="9"/>
  <c r="B20" i="9"/>
  <c r="B17" i="9"/>
  <c r="R13" i="9"/>
  <c r="O2" i="9"/>
  <c r="P2" i="9"/>
  <c r="P3" i="9"/>
  <c r="P4" i="9"/>
  <c r="O5" i="9"/>
  <c r="P5" i="9"/>
  <c r="P6" i="9"/>
  <c r="P7" i="9"/>
  <c r="P8" i="9"/>
  <c r="O9" i="9"/>
  <c r="P9" i="9"/>
  <c r="O10" i="9"/>
  <c r="P10" i="9"/>
  <c r="P11" i="9"/>
  <c r="R11" i="9"/>
  <c r="I5" i="9"/>
  <c r="I6" i="9"/>
  <c r="I8" i="9"/>
  <c r="I11" i="9"/>
  <c r="R10" i="9"/>
  <c r="R9" i="9"/>
  <c r="R8" i="9"/>
  <c r="R7" i="9"/>
  <c r="R6" i="9"/>
  <c r="R5" i="9"/>
  <c r="R4" i="9"/>
  <c r="R3" i="9"/>
  <c r="R2" i="9"/>
  <c r="B20" i="7"/>
  <c r="N13" i="7"/>
  <c r="M9" i="7"/>
  <c r="H9" i="7"/>
  <c r="M10" i="7"/>
  <c r="H10" i="7"/>
  <c r="M2" i="7"/>
  <c r="H2" i="7"/>
  <c r="M3" i="7"/>
  <c r="H3" i="7"/>
  <c r="M4" i="7"/>
  <c r="H4" i="7"/>
  <c r="M5" i="7"/>
  <c r="H5" i="7"/>
  <c r="M6" i="7"/>
  <c r="H6" i="7"/>
  <c r="M7" i="7"/>
  <c r="H7" i="7"/>
  <c r="M8" i="7"/>
  <c r="H8" i="7"/>
  <c r="H11" i="7"/>
  <c r="I10" i="7"/>
  <c r="I8" i="7"/>
  <c r="I6" i="7"/>
  <c r="I5" i="7"/>
  <c r="I4" i="7"/>
  <c r="I2" i="7"/>
  <c r="O8" i="7"/>
  <c r="B19" i="7"/>
  <c r="O4" i="7"/>
  <c r="B17" i="7"/>
  <c r="O3" i="7"/>
  <c r="O6" i="7"/>
  <c r="O7" i="7"/>
  <c r="C22" i="2"/>
  <c r="C23" i="7"/>
  <c r="B23" i="7"/>
  <c r="B18" i="7"/>
  <c r="R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R11" i="7"/>
  <c r="I11" i="7"/>
  <c r="R10" i="7"/>
  <c r="R9" i="7"/>
  <c r="R8" i="7"/>
  <c r="R7" i="7"/>
  <c r="R6" i="7"/>
  <c r="R5" i="7"/>
  <c r="R4" i="7"/>
  <c r="R3" i="7"/>
  <c r="R2" i="7"/>
  <c r="C24" i="6"/>
  <c r="B21" i="6"/>
  <c r="B19" i="6"/>
  <c r="B18" i="6"/>
  <c r="B24" i="6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14" i="2"/>
  <c r="B17" i="2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<sst xmlns="http://schemas.openxmlformats.org/spreadsheetml/2006/main" count="530" uniqueCount="234">
  <si>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</si>
  <si>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</si>
  <si>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</si>
  <si>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</si>
  <si>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</si>
  <si>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</si>
  <si>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</si>
  <si>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</si>
  <si>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</si>
  <si>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</si>
  <si>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</si>
  <si>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</si>
  <si>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</si>
  <si>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</si>
  <si>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</si>
  <si>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</si>
  <si>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</si>
  <si>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</si>
  <si>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</si>
  <si>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</si>
  <si>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</si>
  <si>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</si>
  <si>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</si>
  <si>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</si>
  <si>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</si>
  <si>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</si>
  <si>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</si>
  <si>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</si>
  <si>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</si>
  <si>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</si>
  <si>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</si>
  <si>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</si>
  <si>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</si>
  <si>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</si>
  <si>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</si>
  <si>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</si>
  <si>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</si>
  <si>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</si>
  <si>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</si>
  <si>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</si>
  <si>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</si>
  <si>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</si>
  <si>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</si>
  <si>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</si>
  <si>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</si>
  <si>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</si>
  <si>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</si>
  <si>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</si>
  <si>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</si>
  <si>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</si>
  <si>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</si>
  <si>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</si>
  <si>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</si>
  <si>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</si>
  <si>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</si>
  <si>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</si>
  <si>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</si>
  <si>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</si>
  <si>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</si>
  <si>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</si>
  <si>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</si>
  <si>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</si>
  <si>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</si>
  <si>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</si>
  <si>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</si>
  <si>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</si>
  <si>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</si>
  <si>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</si>
  <si>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</si>
  <si>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</si>
  <si>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</si>
  <si>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</si>
  <si>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</si>
  <si>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</si>
  <si>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</si>
  <si>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</si>
  <si>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</si>
  <si>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</si>
  <si>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</si>
  <si>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</si>
  <si>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</si>
  <si>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</si>
  <si>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</si>
  <si>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</si>
  <si>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</si>
  <si>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</si>
  <si>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</si>
  <si>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</si>
  <si>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</si>
  <si>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</si>
  <si>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</si>
  <si>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</si>
  <si>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</si>
  <si>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</si>
  <si>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</si>
  <si>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</si>
  <si>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</si>
  <si>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</si>
  <si>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</si>
  <si>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</si>
  <si>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</si>
  <si>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</si>
  <si>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</si>
  <si>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</si>
  <si>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</si>
  <si>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</si>
  <si>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</si>
  <si>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</si>
  <si>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</si>
  <si>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</si>
  <si>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</si>
  <si>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</si>
  <si>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</si>
  <si>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</si>
  <si>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</si>
  <si>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887836 US</t>
  </si>
  <si>
    <t>Währungen</t>
  </si>
  <si>
    <t>GBP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</si>
  <si>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</si>
  <si>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</si>
  <si>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</si>
  <si>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</si>
  <si>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</si>
  <si>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</si>
  <si>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</si>
  <si>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</si>
  <si>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</si>
  <si>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</si>
  <si>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</si>
  <si>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</si>
  <si>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</si>
  <si>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</si>
  <si>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</si>
  <si>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</si>
  <si>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</si>
  <si>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</si>
  <si>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</si>
  <si>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</si>
  <si>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</si>
  <si>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</si>
  <si>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</si>
  <si>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</si>
  <si>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</si>
  <si>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</si>
  <si>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</si>
  <si>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</si>
  <si>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</si>
  <si>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</si>
  <si>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</si>
  <si>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</si>
  <si>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</si>
  <si>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</si>
  <si>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</si>
  <si>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</si>
  <si>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</si>
  <si>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</si>
  <si>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</si>
  <si>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</si>
  <si>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</si>
  <si>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</si>
  <si>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</si>
  <si>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</si>
  <si>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</si>
  <si>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</si>
  <si>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</si>
  <si>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</si>
  <si>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</si>
  <si>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</si>
  <si>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</si>
  <si>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</si>
  <si>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</si>
  <si>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</si>
  <si>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</si>
  <si>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</si>
  <si>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</si>
  <si>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</si>
  <si>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</si>
  <si>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</si>
  <si>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</si>
  <si>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</si>
  <si>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</si>
  <si>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</si>
  <si>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</si>
  <si>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</si>
  <si>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</si>
  <si>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</si>
  <si>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</si>
  <si>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</si>
  <si>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</si>
  <si>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</si>
  <si>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</si>
  <si>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</si>
  <si>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</si>
  <si>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</si>
  <si>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r>
      <t xml:space="preserve">Industrie - </t>
    </r>
    <r>
      <rPr>
        <sz val="12"/>
        <color theme="1"/>
        <rFont val="Calibri"/>
        <family val="2"/>
        <charset val="204"/>
        <scheme val="minor"/>
      </rPr>
      <t xml:space="preserve">Maschinen- und Anlagenbau Rolltreppen Aufzüge </t>
    </r>
  </si>
  <si>
    <t>Schindler</t>
  </si>
  <si>
    <t>A0JEHV CH</t>
  </si>
  <si>
    <t>Industrie - Maschinen- und Anlagenbau Küchen für Großgewerbe</t>
  </si>
  <si>
    <r>
      <t xml:space="preserve">Lebensmittel - Hersteller </t>
    </r>
    <r>
      <rPr>
        <sz val="12"/>
        <color theme="1"/>
        <rFont val="Calibri"/>
        <family val="2"/>
        <charset val="204"/>
        <scheme val="minor"/>
      </rPr>
      <t>Allgemein</t>
    </r>
  </si>
  <si>
    <t>Sysco</t>
  </si>
  <si>
    <t>859121 US</t>
  </si>
  <si>
    <r>
      <t>200 Tage Linie - -0,</t>
    </r>
    <r>
      <rPr>
        <sz val="12"/>
        <color theme="1"/>
        <rFont val="Calibri"/>
        <family val="2"/>
        <charset val="204"/>
        <scheme val="minor"/>
      </rPr>
      <t>46</t>
    </r>
    <r>
      <rPr>
        <sz val="12"/>
        <color theme="1"/>
        <rFont val="Calibri"/>
        <family val="2"/>
        <charset val="204"/>
        <scheme val="minor"/>
      </rPr>
      <t>%</t>
    </r>
  </si>
  <si>
    <t>Intercontinental Hotels Group</t>
  </si>
  <si>
    <t>Gastronomie Hotelgewerbe</t>
  </si>
  <si>
    <t>Dienstleister Finanzen Ratingagentur</t>
  </si>
  <si>
    <t>S&amp;P Global</t>
  </si>
  <si>
    <t>A2AHZ7 US</t>
  </si>
  <si>
    <t>Chemie - Industrie Agrar Bau Öl</t>
  </si>
  <si>
    <t>BASF</t>
  </si>
  <si>
    <t>BASF11 DE</t>
  </si>
  <si>
    <r>
      <t>Abwärts - -1</t>
    </r>
    <r>
      <rPr>
        <sz val="12"/>
        <color theme="1"/>
        <rFont val="Calibri"/>
        <family val="2"/>
        <charset val="204"/>
        <scheme val="minor"/>
      </rPr>
      <t>6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59</t>
    </r>
    <r>
      <rPr>
        <sz val="12"/>
        <color theme="1"/>
        <rFont val="Calibri"/>
        <family val="2"/>
        <charset val="204"/>
        <scheme val="minor"/>
      </rPr>
      <t>%</t>
    </r>
  </si>
  <si>
    <t>Salesforce.com</t>
  </si>
  <si>
    <t xml:space="preserve">zyklisch - Luxusgüter - Kosmetik Spirituosen Mode </t>
  </si>
  <si>
    <t>LVMH</t>
  </si>
  <si>
    <t>853292 FR</t>
  </si>
  <si>
    <r>
      <t>Abwärts - -8,</t>
    </r>
    <r>
      <rPr>
        <sz val="12"/>
        <color theme="1"/>
        <rFont val="Calibri"/>
        <family val="2"/>
        <charset val="204"/>
        <scheme val="minor"/>
      </rPr>
      <t>89</t>
    </r>
    <r>
      <rPr>
        <sz val="12"/>
        <color theme="1"/>
        <rFont val="Calibri"/>
        <family val="2"/>
        <charset val="204"/>
        <scheme val="minor"/>
      </rPr>
      <t>%</t>
    </r>
  </si>
  <si>
    <t>Dienstleister - Gesundheitsfürs. Pflege Altenpflege Betreiber Einricht. pflegebed. Menschen</t>
  </si>
  <si>
    <t>Orpea</t>
  </si>
  <si>
    <t>575626 FR</t>
  </si>
  <si>
    <r>
      <t xml:space="preserve">Aufwärts - </t>
    </r>
    <r>
      <rPr>
        <sz val="12"/>
        <color theme="1"/>
        <rFont val="Calibri"/>
        <family val="2"/>
        <charset val="204"/>
        <scheme val="minor"/>
      </rPr>
      <t>16,22</t>
    </r>
    <r>
      <rPr>
        <sz val="12"/>
        <color theme="1"/>
        <rFont val="Calibri"/>
        <family val="2"/>
        <charset val="204"/>
        <scheme val="minor"/>
      </rPr>
      <t>%</t>
    </r>
  </si>
  <si>
    <t>Software - Cloud Computing</t>
  </si>
  <si>
    <t>A0B87V US</t>
  </si>
  <si>
    <r>
      <t>Ab</t>
    </r>
    <r>
      <rPr>
        <sz val="12"/>
        <color theme="1"/>
        <rFont val="Calibri"/>
        <family val="2"/>
        <charset val="204"/>
        <scheme val="minor"/>
      </rPr>
      <t xml:space="preserve">wärts - </t>
    </r>
    <r>
      <rPr>
        <sz val="12"/>
        <color theme="1"/>
        <rFont val="Calibri"/>
        <family val="2"/>
        <charset val="204"/>
        <scheme val="minor"/>
      </rPr>
      <t>10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16</t>
    </r>
    <r>
      <rPr>
        <sz val="12"/>
        <color theme="1"/>
        <rFont val="Calibri"/>
        <family val="2"/>
        <charset val="204"/>
        <scheme val="minor"/>
      </rPr>
      <t>%</t>
    </r>
  </si>
  <si>
    <t>Abwärts - -4,86%</t>
  </si>
  <si>
    <r>
      <t>Abwärts</t>
    </r>
    <r>
      <rPr>
        <sz val="12"/>
        <color theme="1"/>
        <rFont val="Calibri"/>
        <family val="2"/>
        <charset val="204"/>
        <scheme val="minor"/>
      </rPr>
      <t xml:space="preserve"> - -</t>
    </r>
    <r>
      <rPr>
        <sz val="12"/>
        <color theme="1"/>
        <rFont val="Calibri"/>
        <family val="2"/>
        <charset val="204"/>
        <scheme val="minor"/>
      </rPr>
      <t>9,43%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</si>
  <si>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9,18%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</si>
  <si>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20.11.2018</t>
    </r>
  </si>
  <si>
    <t>Mittags</t>
  </si>
  <si>
    <r>
      <t>A</t>
    </r>
    <r>
      <rPr>
        <sz val="12"/>
        <color theme="1"/>
        <rFont val="Calibri"/>
        <family val="2"/>
        <charset val="204"/>
        <scheme val="minor"/>
      </rPr>
      <t>bwärts - 9,21%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</si>
  <si>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9,75%</t>
    </r>
  </si>
  <si>
    <t>A2PA4R GB</t>
  </si>
  <si>
    <r>
      <t>UGI</t>
    </r>
    <r>
      <rPr>
        <sz val="12"/>
        <color theme="1"/>
        <rFont val="Calibri"/>
        <family val="2"/>
        <charset val="204"/>
        <scheme val="minor"/>
      </rPr>
      <t xml:space="preserve"> Corp.</t>
    </r>
  </si>
  <si>
    <t>15:00 Uhr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</si>
  <si>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31.12.2019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</si>
</sst>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2">
    <xf numFmtId="0" fontId="0" fillId="0" borderId="0"/>
    <xf numFmtId="0" fontId="1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2">
    <xf numFmtId="0" fontId="0" fillId="0" borderId="0" xfId="0"/>
    <xf numFmtId="0" fontId="15" fillId="0" borderId="0" xfId="0" applyFont="1"/>
    <xf numFmtId="4" fontId="15" fillId="0" borderId="0" xfId="0" applyNumberFormat="1" applyFont="1"/>
    <xf numFmtId="10" fontId="15" fillId="0" borderId="0" xfId="0" applyNumberFormat="1" applyFont="1"/>
    <xf numFmtId="0" fontId="17" fillId="0" borderId="0" xfId="0" applyFont="1"/>
    <xf numFmtId="0" fontId="15" fillId="0" borderId="1" xfId="0" applyFont="1" applyBorder="1"/>
    <xf numFmtId="4" fontId="15" fillId="0" borderId="1" xfId="0" applyNumberFormat="1" applyFont="1" applyBorder="1"/>
    <xf numFmtId="10" fontId="15" fillId="0" borderId="1" xfId="0" applyNumberFormat="1" applyFont="1" applyBorder="1"/>
    <xf numFmtId="4" fontId="15" fillId="0" borderId="1" xfId="0" applyNumberFormat="1" applyFont="1" applyBorder="1" applyAlignment="1">
      <alignment wrapText="1"/>
    </xf>
    <xf numFmtId="10" fontId="15" fillId="0" borderId="1" xfId="0" applyNumberFormat="1" applyFont="1" applyBorder="1" applyAlignment="1">
      <alignment wrapText="1"/>
    </xf>
    <xf numFmtId="0" fontId="17" fillId="0" borderId="1" xfId="0" applyFont="1" applyBorder="1"/>
    <xf numFmtId="4" fontId="17" fillId="0" borderId="1" xfId="0" applyNumberFormat="1" applyFont="1" applyBorder="1"/>
    <xf numFmtId="10" fontId="17" fillId="0" borderId="1" xfId="0" applyNumberFormat="1" applyFont="1" applyBorder="1"/>
    <xf numFmtId="0" fontId="14" fillId="2" borderId="0" xfId="0" applyFont="1" applyFill="1"/>
    <xf numFmtId="0" fontId="15" fillId="2" borderId="0" xfId="0" applyFont="1" applyFill="1"/>
    <xf numFmtId="4" fontId="15" fillId="2" borderId="0" xfId="0" applyNumberFormat="1" applyFont="1" applyFill="1"/>
    <xf numFmtId="10" fontId="15" fillId="2" borderId="0" xfId="0" applyNumberFormat="1" applyFont="1" applyFill="1"/>
    <xf numFmtId="1" fontId="13" fillId="0" borderId="1" xfId="0" applyNumberFormat="1" applyFont="1" applyBorder="1" applyAlignment="1">
      <alignment wrapText="1"/>
    </xf>
    <xf numFmtId="1" fontId="15" fillId="0" borderId="1" xfId="0" applyNumberFormat="1" applyFont="1" applyBorder="1"/>
    <xf numFmtId="1" fontId="17" fillId="0" borderId="1" xfId="0" applyNumberFormat="1" applyFont="1" applyBorder="1"/>
    <xf numFmtId="1" fontId="15" fillId="2" borderId="0" xfId="0" applyNumberFormat="1" applyFont="1" applyFill="1"/>
    <xf numFmtId="1" fontId="15" fillId="0" borderId="0" xfId="0" applyNumberFormat="1" applyFont="1"/>
    <xf numFmtId="4" fontId="13" fillId="0" borderId="1" xfId="0" applyNumberFormat="1" applyFont="1" applyBorder="1"/>
    <xf numFmtId="10" fontId="13" fillId="0" borderId="1" xfId="0" applyNumberFormat="1" applyFont="1" applyBorder="1" applyAlignment="1">
      <alignment wrapText="1"/>
    </xf>
    <xf numFmtId="4" fontId="12" fillId="2" borderId="0" xfId="0" applyNumberFormat="1" applyFont="1" applyFill="1"/>
    <xf numFmtId="4" fontId="12" fillId="0" borderId="1" xfId="0" applyNumberFormat="1" applyFont="1" applyBorder="1" applyAlignment="1">
      <alignment wrapText="1"/>
    </xf>
    <xf numFmtId="4" fontId="12" fillId="0" borderId="1" xfId="0" applyNumberFormat="1" applyFont="1" applyBorder="1"/>
    <xf numFmtId="0" fontId="12" fillId="2" borderId="0" xfId="0" applyFont="1" applyFill="1"/>
    <xf numFmtId="4" fontId="11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1" fontId="10" fillId="0" borderId="1" xfId="0" applyNumberFormat="1" applyFont="1" applyBorder="1" applyAlignment="1">
      <alignment wrapText="1"/>
    </xf>
    <xf numFmtId="4" fontId="10" fillId="0" borderId="1" xfId="0" applyNumberFormat="1" applyFont="1" applyBorder="1"/>
    <xf numFmtId="10" fontId="10" fillId="0" borderId="1" xfId="0" applyNumberFormat="1" applyFont="1" applyBorder="1" applyAlignment="1">
      <alignment wrapText="1"/>
    </xf>
    <xf numFmtId="0" fontId="10" fillId="0" borderId="0" xfId="0" applyFont="1"/>
    <xf numFmtId="1" fontId="10" fillId="0" borderId="1" xfId="0" applyNumberFormat="1" applyFont="1" applyBorder="1"/>
    <xf numFmtId="0" fontId="10" fillId="0" borderId="1" xfId="0" applyFont="1" applyFill="1" applyBorder="1"/>
    <xf numFmtId="0" fontId="21" fillId="0" borderId="1" xfId="0" applyFont="1" applyBorder="1"/>
    <xf numFmtId="0" fontId="0" fillId="0" borderId="1" xfId="0" applyFont="1" applyBorder="1" applyAlignment="1">
      <alignment wrapText="1"/>
    </xf>
    <xf numFmtId="0" fontId="10" fillId="2" borderId="0" xfId="0" applyFont="1" applyFill="1"/>
    <xf numFmtId="4" fontId="10" fillId="2" borderId="0" xfId="0" applyNumberFormat="1" applyFont="1" applyFill="1"/>
    <xf numFmtId="10" fontId="10" fillId="2" borderId="0" xfId="0" applyNumberFormat="1" applyFont="1" applyFill="1"/>
    <xf numFmtId="1" fontId="10" fillId="2" borderId="0" xfId="0" applyNumberFormat="1" applyFont="1" applyFill="1"/>
    <xf numFmtId="4" fontId="10" fillId="0" borderId="0" xfId="0" applyNumberFormat="1" applyFont="1"/>
    <xf numFmtId="10" fontId="10" fillId="0" borderId="0" xfId="0" applyNumberFormat="1" applyFont="1"/>
    <xf numFmtId="1" fontId="10" fillId="0" borderId="0" xfId="0" applyNumberFormat="1" applyFont="1"/>
    <xf numFmtId="4" fontId="9" fillId="0" borderId="1" xfId="0" applyNumberFormat="1" applyFont="1" applyBorder="1" applyAlignment="1">
      <alignment wrapText="1"/>
    </xf>
    <xf numFmtId="0" fontId="9" fillId="0" borderId="0" xfId="0" applyFont="1"/>
    <xf numFmtId="14" fontId="15" fillId="0" borderId="0" xfId="0" applyNumberFormat="1" applyFont="1"/>
    <xf numFmtId="0" fontId="9" fillId="2" borderId="0" xfId="0" applyFont="1" applyFill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8" fillId="0" borderId="0" xfId="0" applyFont="1"/>
    <xf numFmtId="0" fontId="22" fillId="0" borderId="0" xfId="0" applyFont="1"/>
    <xf numFmtId="0" fontId="7" fillId="2" borderId="0" xfId="0" applyFont="1" applyFill="1"/>
    <xf numFmtId="0" fontId="7" fillId="0" borderId="1" xfId="0" applyFont="1" applyBorder="1"/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0" xfId="0" applyFont="1"/>
    <xf numFmtId="10" fontId="17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2" borderId="0" xfId="0" applyFont="1" applyFill="1"/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0" fontId="4" fillId="0" borderId="1" xfId="0" applyFont="1" applyBorder="1"/>
    <xf numFmtId="0" fontId="3" fillId="0" borderId="1" xfId="0" applyFont="1" applyFill="1" applyBorder="1"/>
    <xf numFmtId="10" fontId="2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</cellXfs>
  <cellStyles count="312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Besuchter Link" xfId="301" builtinId="9" hidden="1"/>
    <cellStyle name="Besuchter Link" xfId="303" builtinId="9" hidden="1"/>
    <cellStyle name="Besuchter Link" xfId="305" builtinId="9" hidden="1"/>
    <cellStyle name="Besuchter Link" xfId="307" builtinId="9" hidden="1"/>
    <cellStyle name="Besuchter Link" xfId="309" builtinId="9" hidden="1"/>
    <cellStyle name="Besuchter Link" xfId="311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9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5" sqref="S15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71" t="s">
        <v>233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48</v>
      </c>
      <c r="O2" s="6">
        <f>N2</f>
        <v>48</v>
      </c>
      <c r="P2" s="6">
        <f t="shared" ref="P2:P11" si="1">L2*O2</f>
        <v>1056</v>
      </c>
      <c r="Q2" s="7"/>
      <c r="R2" s="7">
        <f t="shared" ref="R2:R12" si="2">(P2-H2)/H2</f>
        <v>5.7035895177273747E-2</v>
      </c>
      <c r="S2" s="7"/>
      <c r="T2" s="7">
        <v>2.118039692600052E-2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92.94</v>
      </c>
      <c r="O3" s="6">
        <f>N3</f>
        <v>92.94</v>
      </c>
      <c r="P3" s="6">
        <f t="shared" si="1"/>
        <v>1487.04</v>
      </c>
      <c r="Q3" s="7">
        <f>(P2+P3)/P12</f>
        <v>0.19190443566239887</v>
      </c>
      <c r="R3" s="7">
        <f t="shared" si="2"/>
        <v>0.50876623376623364</v>
      </c>
      <c r="S3" s="7"/>
      <c r="T3" s="7">
        <v>9.9041533546325878E-3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140.9</v>
      </c>
      <c r="O4" s="6">
        <f>N4</f>
        <v>140.9</v>
      </c>
      <c r="P4" s="6">
        <f t="shared" si="1"/>
        <v>1268.1000000000001</v>
      </c>
      <c r="Q4" s="7"/>
      <c r="R4" s="7">
        <f t="shared" si="2"/>
        <v>0.24393043171183917</v>
      </c>
      <c r="S4" s="7"/>
      <c r="T4" s="7">
        <v>9.1327861325583501E-3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19.649999999999999</v>
      </c>
      <c r="O5" s="6">
        <f>N5*B19</f>
        <v>23.381534999999996</v>
      </c>
      <c r="P5" s="6">
        <f t="shared" si="1"/>
        <v>935.26139999999987</v>
      </c>
      <c r="Q5" s="7">
        <f>(P4+P5)/P12</f>
        <v>0.1662714019548702</v>
      </c>
      <c r="R5" s="7">
        <f t="shared" si="2"/>
        <v>-5.8714371980676486E-2</v>
      </c>
      <c r="S5" s="7"/>
      <c r="T5" s="7">
        <v>2.4697336561743343E-2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101.32</v>
      </c>
      <c r="O6" s="6">
        <f>N6*B21</f>
        <v>69.029315999999994</v>
      </c>
      <c r="P6" s="6">
        <f t="shared" si="1"/>
        <v>1656.7035839999999</v>
      </c>
      <c r="Q6" s="7"/>
      <c r="R6" s="7">
        <f t="shared" si="2"/>
        <v>0.64669169847328223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53.94</v>
      </c>
      <c r="O7" s="6">
        <f>N7*B18</f>
        <v>48.626909999999995</v>
      </c>
      <c r="P7" s="6">
        <f t="shared" si="1"/>
        <v>1556.0611199999998</v>
      </c>
      <c r="Q7" s="7">
        <f>(P6+P7)/P12</f>
        <v>0.24244360978875437</v>
      </c>
      <c r="R7" s="7">
        <f t="shared" si="2"/>
        <v>0.56810415994840346</v>
      </c>
      <c r="S7" s="7"/>
      <c r="T7" s="7">
        <v>3.0120481927710843E-2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196.11</v>
      </c>
      <c r="O8" s="6">
        <f>N8*B18</f>
        <v>176.79316500000002</v>
      </c>
      <c r="P8" s="6">
        <f t="shared" si="1"/>
        <v>1591.1384850000002</v>
      </c>
      <c r="Q8" s="7"/>
      <c r="R8" s="7">
        <f t="shared" si="2"/>
        <v>0.60881941031941056</v>
      </c>
      <c r="S8" s="7"/>
      <c r="T8" s="7">
        <v>9.7414373801751383E-3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96.3</v>
      </c>
      <c r="O9" s="6">
        <f>N9*B18</f>
        <v>86.814449999999994</v>
      </c>
      <c r="P9" s="6">
        <f t="shared" si="1"/>
        <v>1996.7323499999998</v>
      </c>
      <c r="Q9" s="7">
        <f>(P8+P9)/P12</f>
        <v>0.27075009745039591</v>
      </c>
      <c r="R9" s="7">
        <f t="shared" si="2"/>
        <v>0.96457230142566186</v>
      </c>
      <c r="S9" s="7"/>
      <c r="T9" s="7">
        <v>9.920047379330766E-3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47.53</v>
      </c>
      <c r="O10" s="6">
        <f>N10*B18</f>
        <v>42.848295</v>
      </c>
      <c r="P10" s="6">
        <f t="shared" si="1"/>
        <v>771.26931000000002</v>
      </c>
      <c r="Q10" s="7">
        <f>P10/P12</f>
        <v>5.8201995123662142E-2</v>
      </c>
      <c r="R10" s="7">
        <f t="shared" si="2"/>
        <v>-0.20163415315818897</v>
      </c>
      <c r="S10" s="7"/>
      <c r="T10" s="7">
        <v>6.8122620717291124E-2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269.2</v>
      </c>
      <c r="O11" s="6">
        <f>N11*B22</f>
        <v>25.224039999999999</v>
      </c>
      <c r="P11" s="6">
        <f t="shared" si="1"/>
        <v>933.28947999999991</v>
      </c>
      <c r="Q11" s="7">
        <f>P11/P12</f>
        <v>7.0428460019918551E-2</v>
      </c>
      <c r="R11" s="7">
        <f t="shared" si="2"/>
        <v>-5.9506338553318536E-2</v>
      </c>
      <c r="S11" s="7"/>
      <c r="T11" s="7">
        <v>3.3849991092107609E-2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13251.595728999999</v>
      </c>
      <c r="Q12" s="12"/>
      <c r="R12" s="12">
        <f t="shared" si="2"/>
        <v>0.33050420830476013</v>
      </c>
      <c r="S12" s="12">
        <v>0.12520000000000001</v>
      </c>
      <c r="T12" s="12">
        <f>AVERAGE(T2:T11)</f>
        <v>2.1666925147155031E-2</v>
      </c>
    </row>
    <row r="13" spans="1:20">
      <c r="S13" s="60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2342.41</v>
      </c>
      <c r="O14" s="15"/>
      <c r="P14" s="15"/>
      <c r="Q14" s="16"/>
      <c r="R14" s="16">
        <f>(N14-K14)/K14</f>
        <v>0.20275939266660842</v>
      </c>
      <c r="S14" s="16">
        <v>7.9299999999999995E-2</v>
      </c>
    </row>
    <row r="17" spans="1:3">
      <c r="A17" s="35" t="s">
        <v>116</v>
      </c>
      <c r="B17" s="48" t="s">
        <v>149</v>
      </c>
    </row>
    <row r="18" spans="1:3">
      <c r="A18" s="35" t="s">
        <v>22</v>
      </c>
      <c r="B18" s="35">
        <v>0.90149999999999997</v>
      </c>
    </row>
    <row r="19" spans="1:3">
      <c r="A19" s="35" t="s">
        <v>118</v>
      </c>
      <c r="B19" s="1">
        <v>1.1899</v>
      </c>
    </row>
    <row r="20" spans="1:3">
      <c r="A20" s="35" t="s">
        <v>31</v>
      </c>
      <c r="B20" s="35">
        <v>8.3000000000000001E-3</v>
      </c>
    </row>
    <row r="21" spans="1:3">
      <c r="A21" s="35" t="s">
        <v>42</v>
      </c>
      <c r="B21" s="1">
        <v>0.68130000000000002</v>
      </c>
    </row>
    <row r="22" spans="1:3">
      <c r="A22" s="35" t="s">
        <v>50</v>
      </c>
      <c r="B22" s="35">
        <v>9.3700000000000006E-2</v>
      </c>
    </row>
    <row r="25" spans="1:3">
      <c r="A25" s="48" t="s">
        <v>123</v>
      </c>
      <c r="B25" s="49">
        <v>43862</v>
      </c>
      <c r="C25" s="54" t="s">
        <v>232</v>
      </c>
    </row>
    <row r="26" spans="1:3">
      <c r="A26" s="48" t="s">
        <v>124</v>
      </c>
      <c r="B26" s="2">
        <v>2.42</v>
      </c>
    </row>
    <row r="29" spans="1:3">
      <c r="A29" s="48"/>
    </row>
  </sheetData>
  <phoneticPr fontId="20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6" sqref="U6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6" style="44" bestFit="1" customWidth="1"/>
    <col min="19" max="19" width="11.83203125" style="45" customWidth="1"/>
    <col min="20" max="20" width="12.6640625" style="45" customWidth="1"/>
    <col min="21" max="21" width="12" style="3" customWidth="1"/>
    <col min="22" max="16384" width="10.83203125" style="35"/>
  </cols>
  <sheetData>
    <row r="1" spans="1:21" ht="45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120</v>
      </c>
      <c r="O1" s="47" t="s">
        <v>121</v>
      </c>
      <c r="P1" s="47" t="s">
        <v>122</v>
      </c>
      <c r="Q1" s="31" t="s">
        <v>3</v>
      </c>
      <c r="R1" s="29" t="s">
        <v>51</v>
      </c>
      <c r="S1" s="34" t="s">
        <v>70</v>
      </c>
      <c r="T1" s="34" t="s">
        <v>74</v>
      </c>
      <c r="U1" s="70" t="str">
        <f>'170830_langfr_Geldanlage'!T1</f>
        <v>Dividenden-rendite 31.12.2019</v>
      </c>
    </row>
    <row r="2" spans="1:21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853.4</v>
      </c>
      <c r="O2" s="33">
        <f>N2*B19</f>
        <v>114.01424</v>
      </c>
      <c r="P2" s="33">
        <f t="shared" ref="P2:P11" si="1">L2*O2</f>
        <v>1596.1993600000001</v>
      </c>
      <c r="Q2" s="31"/>
      <c r="R2" s="29"/>
      <c r="S2" s="31">
        <f t="shared" ref="S2:S12" si="2">(P2-H2)/H2</f>
        <v>0.57841988062267802</v>
      </c>
      <c r="T2" s="31"/>
      <c r="U2" s="7">
        <v>2.1658222717219566E-2</v>
      </c>
    </row>
    <row r="3" spans="1:21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284</v>
      </c>
      <c r="O3" s="33">
        <f>N3</f>
        <v>284</v>
      </c>
      <c r="P3" s="33">
        <f t="shared" si="1"/>
        <v>568</v>
      </c>
      <c r="Q3" s="31">
        <f>(P2+P3)/P12</f>
        <v>0.16228352601832641</v>
      </c>
      <c r="R3" s="33"/>
      <c r="S3" s="31">
        <f t="shared" si="2"/>
        <v>-0.31812888804588701</v>
      </c>
      <c r="T3" s="31"/>
      <c r="U3" s="7">
        <v>2.4822695035460994E-2</v>
      </c>
    </row>
    <row r="4" spans="1:21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509.2</v>
      </c>
      <c r="O4" s="33">
        <f>N4*B18</f>
        <v>476.15291999999999</v>
      </c>
      <c r="P4" s="33">
        <f t="shared" si="1"/>
        <v>1428.45876</v>
      </c>
      <c r="Q4" s="31"/>
      <c r="R4" s="33"/>
      <c r="S4" s="31">
        <f t="shared" si="2"/>
        <v>0.18579883177553785</v>
      </c>
      <c r="T4" s="31"/>
      <c r="U4" s="7">
        <v>2.0253160716086439E-2</v>
      </c>
    </row>
    <row r="5" spans="1:21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50</v>
      </c>
      <c r="O5" s="33">
        <f>N5</f>
        <v>50</v>
      </c>
      <c r="P5" s="33">
        <f t="shared" si="1"/>
        <v>900</v>
      </c>
      <c r="Q5" s="31"/>
      <c r="R5" s="33"/>
      <c r="S5" s="31">
        <f t="shared" si="2"/>
        <v>-7.481079880835631E-2</v>
      </c>
      <c r="T5" s="31"/>
      <c r="U5" s="7">
        <v>3.237410071942446E-2</v>
      </c>
    </row>
    <row r="6" spans="1:21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643.28</v>
      </c>
      <c r="O6" s="33">
        <f>N6*B17</f>
        <v>579.91692</v>
      </c>
      <c r="P6" s="33">
        <f t="shared" si="1"/>
        <v>2319.66768</v>
      </c>
      <c r="Q6" s="31">
        <f>(P4+P5+P6)/P12</f>
        <v>0.34854198832320643</v>
      </c>
      <c r="R6" s="33"/>
      <c r="S6" s="31">
        <f t="shared" si="2"/>
        <v>1.595364301718341</v>
      </c>
      <c r="T6" s="31"/>
      <c r="U6" s="7">
        <v>2.3214285714285715E-2</v>
      </c>
    </row>
    <row r="7" spans="1:21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2008.72</v>
      </c>
      <c r="O7" s="33">
        <f>N7*B17</f>
        <v>1810.8610799999999</v>
      </c>
      <c r="P7" s="33">
        <f t="shared" si="1"/>
        <v>1810.8610799999999</v>
      </c>
      <c r="Q7" s="31"/>
      <c r="R7" s="33"/>
      <c r="S7" s="31">
        <f t="shared" si="2"/>
        <v>1.203655915627212</v>
      </c>
      <c r="T7" s="31"/>
      <c r="U7" s="7">
        <v>0</v>
      </c>
    </row>
    <row r="8" spans="1:21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74.22</v>
      </c>
      <c r="O8" s="33">
        <f>N8*B17</f>
        <v>66.909329999999997</v>
      </c>
      <c r="P8" s="33">
        <f t="shared" si="1"/>
        <v>1672.73325</v>
      </c>
      <c r="Q8" s="31">
        <f>(P7+P8)/P12</f>
        <v>0.26121899005175259</v>
      </c>
      <c r="R8" s="33"/>
      <c r="S8" s="31">
        <f t="shared" si="2"/>
        <v>0.65239617749594636</v>
      </c>
      <c r="T8" s="31"/>
      <c r="U8" s="7">
        <v>1.3505828831390388E-2</v>
      </c>
    </row>
    <row r="9" spans="1:21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320.76</v>
      </c>
      <c r="O9" s="33">
        <f>N9*B17</f>
        <v>289.16514000000001</v>
      </c>
      <c r="P9" s="33">
        <f t="shared" si="1"/>
        <v>1156.66056</v>
      </c>
      <c r="Q9" s="31">
        <f>(P9)/P12</f>
        <v>8.6732746322932097E-2</v>
      </c>
      <c r="R9" s="33"/>
      <c r="S9" s="31">
        <f t="shared" si="2"/>
        <v>0.2554716801975026</v>
      </c>
      <c r="T9" s="31"/>
      <c r="U9" s="7">
        <v>3.1959300808765981E-2</v>
      </c>
    </row>
    <row r="10" spans="1:21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94.6</v>
      </c>
      <c r="O10" s="33">
        <f>N10</f>
        <v>94.6</v>
      </c>
      <c r="P10" s="33">
        <f t="shared" si="1"/>
        <v>946</v>
      </c>
      <c r="Q10" s="31">
        <f>(P10)/P12</f>
        <v>7.0936263290151222E-2</v>
      </c>
      <c r="R10" s="33"/>
      <c r="S10" s="31">
        <f t="shared" si="2"/>
        <v>-0.10543735224586288</v>
      </c>
      <c r="T10" s="31"/>
      <c r="U10" s="7">
        <v>2.6502602934216749E-2</v>
      </c>
    </row>
    <row r="11" spans="1:21" ht="28">
      <c r="A11" s="29" t="s">
        <v>113</v>
      </c>
      <c r="B11" s="39" t="s">
        <v>114</v>
      </c>
      <c r="C11" s="69" t="s">
        <v>231</v>
      </c>
      <c r="D11" s="29" t="s">
        <v>115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41.59</v>
      </c>
      <c r="O11" s="33">
        <f>N11*B17</f>
        <v>37.493385000000004</v>
      </c>
      <c r="P11" s="33">
        <f t="shared" si="1"/>
        <v>937.33462500000007</v>
      </c>
      <c r="Q11" s="31">
        <f>(P11)/P12</f>
        <v>7.0286485993631256E-2</v>
      </c>
      <c r="R11" s="33"/>
      <c r="S11" s="31">
        <f t="shared" si="2"/>
        <v>-6.3040744301814E-2</v>
      </c>
      <c r="T11" s="31"/>
      <c r="U11" s="7">
        <v>2.989371124889283E-2</v>
      </c>
    </row>
    <row r="12" spans="1:21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13335.915315</v>
      </c>
      <c r="Q12" s="12">
        <f>SUM(Q2:Q11)</f>
        <v>1</v>
      </c>
      <c r="R12" s="11"/>
      <c r="S12" s="12">
        <f t="shared" si="2"/>
        <v>0.3707795652230263</v>
      </c>
      <c r="T12" s="12">
        <v>0.1449</v>
      </c>
      <c r="U12" s="12">
        <f>AVERAGE(U2:U11)</f>
        <v>2.2418390872574311E-2</v>
      </c>
    </row>
    <row r="14" spans="1:21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2342.41</v>
      </c>
      <c r="O14" s="41"/>
      <c r="P14" s="41"/>
      <c r="Q14" s="42"/>
      <c r="R14" s="41"/>
      <c r="S14" s="42">
        <f>(N14-K14)/K14</f>
        <v>0.16482988603373733</v>
      </c>
      <c r="T14" s="42">
        <v>6.7699999999999996E-2</v>
      </c>
    </row>
    <row r="16" spans="1:21">
      <c r="A16" s="35" t="s">
        <v>116</v>
      </c>
    </row>
    <row r="17" spans="1:3">
      <c r="A17" s="35" t="s">
        <v>22</v>
      </c>
      <c r="B17" s="35">
        <f>'170830_langfr_Geldanlage'!B18</f>
        <v>0.90149999999999997</v>
      </c>
    </row>
    <row r="18" spans="1:3">
      <c r="A18" s="35" t="s">
        <v>90</v>
      </c>
      <c r="B18" s="35">
        <v>0.93510000000000004</v>
      </c>
    </row>
    <row r="19" spans="1:3">
      <c r="A19" s="35" t="s">
        <v>83</v>
      </c>
      <c r="B19" s="35">
        <v>0.1336</v>
      </c>
    </row>
    <row r="22" spans="1:3">
      <c r="A22" s="48" t="s">
        <v>123</v>
      </c>
      <c r="B22" s="49">
        <f>'170830_langfr_Geldanlage'!B25</f>
        <v>43862</v>
      </c>
      <c r="C22" s="54" t="str">
        <f>'170830_langfr_Geldanlage'!C25</f>
        <v>15:00 Uhr</v>
      </c>
    </row>
    <row r="23" spans="1:3">
      <c r="A23" s="48" t="s">
        <v>124</v>
      </c>
      <c r="B23" s="44">
        <v>2.33</v>
      </c>
    </row>
  </sheetData>
  <phoneticPr fontId="20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5" sqref="T15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6" style="2" bestFit="1" customWidth="1"/>
    <col min="19" max="19" width="11.83203125" style="3" customWidth="1"/>
    <col min="20" max="20" width="12.6640625" style="3" customWidth="1"/>
    <col min="21" max="21" width="12" style="3" customWidth="1"/>
    <col min="22" max="16384" width="10.83203125" style="1"/>
  </cols>
  <sheetData>
    <row r="1" spans="1:21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7" t="s">
        <v>130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5" t="s">
        <v>51</v>
      </c>
      <c r="S1" s="9" t="s">
        <v>70</v>
      </c>
      <c r="T1" s="23" t="s">
        <v>74</v>
      </c>
      <c r="U1" s="70" t="str">
        <f>'170830_langfr_Geldanlage'!T1</f>
        <v>Dividenden-rendite 31.12.2019</v>
      </c>
    </row>
    <row r="2" spans="1:21">
      <c r="A2" s="51" t="s">
        <v>126</v>
      </c>
      <c r="B2" s="51" t="s">
        <v>127</v>
      </c>
      <c r="C2" s="51" t="s">
        <v>128</v>
      </c>
      <c r="D2" s="51" t="s">
        <v>129</v>
      </c>
      <c r="E2" s="51" t="s">
        <v>20</v>
      </c>
      <c r="F2" s="51" t="s">
        <v>41</v>
      </c>
      <c r="G2" s="51" t="s">
        <v>42</v>
      </c>
      <c r="H2" s="6">
        <f t="shared" ref="H2:H11" si="0">M2*L2</f>
        <v>1025.74432</v>
      </c>
      <c r="I2" s="7"/>
      <c r="J2" s="51" t="s">
        <v>53</v>
      </c>
      <c r="K2" s="6">
        <v>40.729999999999997</v>
      </c>
      <c r="L2" s="18">
        <v>40</v>
      </c>
      <c r="M2" s="6">
        <f>K2*0.6296</f>
        <v>25.643608</v>
      </c>
      <c r="N2" s="6">
        <v>53.84</v>
      </c>
      <c r="O2" s="6">
        <f>N2*B21</f>
        <v>36.681192000000003</v>
      </c>
      <c r="P2" s="6">
        <f t="shared" ref="P2:P11" si="1">L2*O2</f>
        <v>1467.2476800000002</v>
      </c>
      <c r="Q2" s="7"/>
      <c r="R2" s="33"/>
      <c r="S2" s="7">
        <f>(P2-H2)/H2</f>
        <v>0.43042242729650226</v>
      </c>
      <c r="T2" s="7"/>
      <c r="U2" s="7">
        <v>6.1204725934534188E-2</v>
      </c>
    </row>
    <row r="3" spans="1:21">
      <c r="A3" s="51" t="s">
        <v>131</v>
      </c>
      <c r="B3" s="51" t="s">
        <v>132</v>
      </c>
      <c r="C3" s="51" t="s">
        <v>133</v>
      </c>
      <c r="D3" s="51" t="s">
        <v>134</v>
      </c>
      <c r="E3" s="51" t="s">
        <v>29</v>
      </c>
      <c r="F3" s="51" t="s">
        <v>135</v>
      </c>
      <c r="G3" s="51" t="s">
        <v>16</v>
      </c>
      <c r="H3" s="6">
        <f t="shared" si="0"/>
        <v>946.80000000000007</v>
      </c>
      <c r="I3" s="7"/>
      <c r="J3" s="51" t="s">
        <v>136</v>
      </c>
      <c r="K3" s="6">
        <f>78.9/2</f>
        <v>39.450000000000003</v>
      </c>
      <c r="L3" s="18">
        <v>24</v>
      </c>
      <c r="M3" s="6">
        <f>K3</f>
        <v>39.450000000000003</v>
      </c>
      <c r="N3" s="6">
        <v>52.5</v>
      </c>
      <c r="O3" s="6">
        <f>N3</f>
        <v>52.5</v>
      </c>
      <c r="P3" s="6">
        <f t="shared" si="1"/>
        <v>1260</v>
      </c>
      <c r="Q3" s="7"/>
      <c r="R3" s="26"/>
      <c r="S3" s="7">
        <f t="shared" ref="S3:S12" si="2">(P3-H3)/H3</f>
        <v>0.33079847908745236</v>
      </c>
      <c r="T3" s="7"/>
      <c r="U3" s="7">
        <v>9.3186654469520295E-3</v>
      </c>
    </row>
    <row r="4" spans="1:21">
      <c r="A4" s="51" t="s">
        <v>4</v>
      </c>
      <c r="B4" s="51" t="s">
        <v>5</v>
      </c>
      <c r="C4" s="51" t="s">
        <v>6</v>
      </c>
      <c r="D4" s="51" t="s">
        <v>58</v>
      </c>
      <c r="E4" s="51" t="s">
        <v>7</v>
      </c>
      <c r="F4" s="51" t="s">
        <v>7</v>
      </c>
      <c r="G4" s="51" t="s">
        <v>16</v>
      </c>
      <c r="H4" s="6">
        <f t="shared" si="0"/>
        <v>988.00000000000011</v>
      </c>
      <c r="I4" s="7"/>
      <c r="J4" s="51" t="s">
        <v>53</v>
      </c>
      <c r="K4" s="6">
        <v>39.520000000000003</v>
      </c>
      <c r="L4" s="18">
        <v>25</v>
      </c>
      <c r="M4" s="6">
        <f>K4</f>
        <v>39.520000000000003</v>
      </c>
      <c r="N4" s="6">
        <v>48</v>
      </c>
      <c r="O4" s="6">
        <f>N4</f>
        <v>48</v>
      </c>
      <c r="P4" s="6">
        <f t="shared" si="1"/>
        <v>1200</v>
      </c>
      <c r="Q4" s="7"/>
      <c r="R4" s="28"/>
      <c r="S4" s="7">
        <f t="shared" si="2"/>
        <v>0.21457489878542496</v>
      </c>
      <c r="T4" s="7"/>
      <c r="U4" s="7">
        <v>2.118039692600052E-2</v>
      </c>
    </row>
    <row r="5" spans="1:21">
      <c r="A5" s="51" t="s">
        <v>17</v>
      </c>
      <c r="B5" s="51" t="s">
        <v>137</v>
      </c>
      <c r="C5" s="51" t="s">
        <v>138</v>
      </c>
      <c r="D5" s="51" t="s">
        <v>139</v>
      </c>
      <c r="E5" s="51" t="s">
        <v>10</v>
      </c>
      <c r="F5" s="51" t="s">
        <v>15</v>
      </c>
      <c r="G5" s="51" t="s">
        <v>16</v>
      </c>
      <c r="H5" s="6">
        <f t="shared" si="0"/>
        <v>1068</v>
      </c>
      <c r="I5" s="7"/>
      <c r="J5" s="51" t="s">
        <v>60</v>
      </c>
      <c r="K5" s="6">
        <v>106.8</v>
      </c>
      <c r="L5" s="18">
        <v>10</v>
      </c>
      <c r="M5" s="6">
        <f>K5</f>
        <v>106.8</v>
      </c>
      <c r="N5" s="6">
        <v>91.94</v>
      </c>
      <c r="O5" s="6">
        <f>N5</f>
        <v>91.94</v>
      </c>
      <c r="P5" s="6">
        <f t="shared" si="1"/>
        <v>919.4</v>
      </c>
      <c r="Q5" s="7"/>
      <c r="R5" s="33"/>
      <c r="S5" s="7">
        <f t="shared" si="2"/>
        <v>-0.13913857677902625</v>
      </c>
      <c r="T5" s="7"/>
      <c r="U5" s="7">
        <v>2.0692659551296014E-2</v>
      </c>
    </row>
    <row r="6" spans="1:21">
      <c r="A6" s="51" t="s">
        <v>25</v>
      </c>
      <c r="B6" s="51" t="s">
        <v>144</v>
      </c>
      <c r="C6" s="51" t="s">
        <v>142</v>
      </c>
      <c r="D6" s="51" t="s">
        <v>143</v>
      </c>
      <c r="E6" s="51" t="s">
        <v>20</v>
      </c>
      <c r="F6" s="51" t="s">
        <v>21</v>
      </c>
      <c r="G6" s="51" t="s">
        <v>22</v>
      </c>
      <c r="H6" s="6">
        <f t="shared" si="0"/>
        <v>1052.9375520000001</v>
      </c>
      <c r="I6" s="7"/>
      <c r="J6" s="51" t="s">
        <v>75</v>
      </c>
      <c r="K6" s="6">
        <v>216.28</v>
      </c>
      <c r="L6" s="18">
        <v>6</v>
      </c>
      <c r="M6" s="6">
        <f>K6*0.8114</f>
        <v>175.48959200000002</v>
      </c>
      <c r="N6" s="6">
        <v>188.3</v>
      </c>
      <c r="O6" s="6">
        <f>N6*B18</f>
        <v>169.75245000000001</v>
      </c>
      <c r="P6" s="6">
        <f t="shared" si="1"/>
        <v>1018.5147000000001</v>
      </c>
      <c r="Q6" s="7"/>
      <c r="R6" s="22"/>
      <c r="S6" s="7">
        <f t="shared" si="2"/>
        <v>-3.269220661245828E-2</v>
      </c>
      <c r="T6" s="7"/>
      <c r="U6" s="7">
        <v>1.6231884057971015E-2</v>
      </c>
    </row>
    <row r="7" spans="1:21">
      <c r="A7" s="51" t="s">
        <v>26</v>
      </c>
      <c r="B7" s="51" t="s">
        <v>145</v>
      </c>
      <c r="C7" s="51" t="s">
        <v>140</v>
      </c>
      <c r="D7" s="51" t="s">
        <v>146</v>
      </c>
      <c r="E7" s="51" t="s">
        <v>10</v>
      </c>
      <c r="F7" s="51" t="s">
        <v>15</v>
      </c>
      <c r="G7" s="51" t="s">
        <v>16</v>
      </c>
      <c r="H7" s="6">
        <f t="shared" si="0"/>
        <v>1015</v>
      </c>
      <c r="I7" s="7"/>
      <c r="J7" s="51" t="s">
        <v>147</v>
      </c>
      <c r="K7" s="6">
        <v>507.5</v>
      </c>
      <c r="L7" s="18">
        <v>2</v>
      </c>
      <c r="M7" s="6">
        <f>K7</f>
        <v>507.5</v>
      </c>
      <c r="N7" s="6">
        <v>679.5</v>
      </c>
      <c r="O7" s="6">
        <f>N7</f>
        <v>679.5</v>
      </c>
      <c r="P7" s="6">
        <f t="shared" si="1"/>
        <v>1359</v>
      </c>
      <c r="Q7" s="7"/>
      <c r="R7" s="28"/>
      <c r="S7" s="7">
        <f t="shared" si="2"/>
        <v>0.33891625615763549</v>
      </c>
      <c r="T7" s="7"/>
      <c r="U7" s="7">
        <v>1.4685314685314685E-2</v>
      </c>
    </row>
    <row r="8" spans="1:21">
      <c r="A8" s="51" t="s">
        <v>26</v>
      </c>
      <c r="B8" s="51" t="s">
        <v>32</v>
      </c>
      <c r="C8" s="51" t="s">
        <v>33</v>
      </c>
      <c r="D8" s="51" t="s">
        <v>57</v>
      </c>
      <c r="E8" s="51" t="s">
        <v>10</v>
      </c>
      <c r="F8" s="51" t="s">
        <v>148</v>
      </c>
      <c r="G8" s="51" t="s">
        <v>117</v>
      </c>
      <c r="H8" s="6">
        <f t="shared" si="0"/>
        <v>1025.28855</v>
      </c>
      <c r="I8" s="7"/>
      <c r="J8" s="51" t="s">
        <v>53</v>
      </c>
      <c r="K8" s="6">
        <v>19.5</v>
      </c>
      <c r="L8" s="18">
        <v>47</v>
      </c>
      <c r="M8" s="6">
        <f>K8*1.1187</f>
        <v>21.81465</v>
      </c>
      <c r="N8" s="6">
        <v>19.649999999999999</v>
      </c>
      <c r="O8" s="6">
        <f>N8*B19</f>
        <v>23.381534999999996</v>
      </c>
      <c r="P8" s="6">
        <f t="shared" si="1"/>
        <v>1098.9321449999998</v>
      </c>
      <c r="Q8" s="7"/>
      <c r="R8" s="33"/>
      <c r="S8" s="7">
        <f t="shared" si="2"/>
        <v>7.1827189526304361E-2</v>
      </c>
      <c r="T8" s="7"/>
      <c r="U8" s="7">
        <v>2.4697336561743343E-2</v>
      </c>
    </row>
    <row r="9" spans="1:21">
      <c r="A9" s="51" t="s">
        <v>46</v>
      </c>
      <c r="B9" s="51" t="s">
        <v>150</v>
      </c>
      <c r="C9" s="51" t="s">
        <v>151</v>
      </c>
      <c r="D9" s="51" t="s">
        <v>152</v>
      </c>
      <c r="E9" s="51" t="s">
        <v>10</v>
      </c>
      <c r="F9" s="51" t="s">
        <v>112</v>
      </c>
      <c r="G9" s="51" t="s">
        <v>16</v>
      </c>
      <c r="H9" s="6">
        <f t="shared" si="0"/>
        <v>907.6</v>
      </c>
      <c r="I9" s="7"/>
      <c r="J9" s="51" t="s">
        <v>60</v>
      </c>
      <c r="K9" s="6">
        <v>453.8</v>
      </c>
      <c r="L9" s="18">
        <v>2</v>
      </c>
      <c r="M9" s="6">
        <f>K9</f>
        <v>453.8</v>
      </c>
      <c r="N9" s="6">
        <v>486</v>
      </c>
      <c r="O9" s="6">
        <f>N9</f>
        <v>486</v>
      </c>
      <c r="P9" s="6">
        <f t="shared" si="1"/>
        <v>972</v>
      </c>
      <c r="Q9" s="7"/>
      <c r="R9" s="33"/>
      <c r="S9" s="7">
        <f t="shared" si="2"/>
        <v>7.0956368444248547E-2</v>
      </c>
      <c r="T9" s="7"/>
      <c r="U9" s="7">
        <v>5.9862610402355246E-3</v>
      </c>
    </row>
    <row r="10" spans="1:21">
      <c r="A10" s="51" t="s">
        <v>38</v>
      </c>
      <c r="B10" s="51" t="s">
        <v>153</v>
      </c>
      <c r="C10" s="51" t="s">
        <v>141</v>
      </c>
      <c r="D10" s="51" t="s">
        <v>154</v>
      </c>
      <c r="E10" s="51" t="s">
        <v>20</v>
      </c>
      <c r="F10" s="51" t="s">
        <v>21</v>
      </c>
      <c r="G10" s="51" t="s">
        <v>22</v>
      </c>
      <c r="H10" s="6">
        <f t="shared" si="0"/>
        <v>990.784312</v>
      </c>
      <c r="I10" s="7"/>
      <c r="J10" s="51" t="s">
        <v>155</v>
      </c>
      <c r="K10" s="6">
        <v>43.61</v>
      </c>
      <c r="L10" s="18">
        <v>28</v>
      </c>
      <c r="M10" s="6">
        <f>K10*0.8114</f>
        <v>35.385154</v>
      </c>
      <c r="N10" s="6">
        <v>45.97</v>
      </c>
      <c r="O10" s="6">
        <f>N10*B18</f>
        <v>41.441955</v>
      </c>
      <c r="P10" s="6">
        <f t="shared" si="1"/>
        <v>1160.37474</v>
      </c>
      <c r="Q10" s="7"/>
      <c r="R10" s="28"/>
      <c r="S10" s="7">
        <f t="shared" si="2"/>
        <v>0.17116785757100278</v>
      </c>
      <c r="T10" s="7"/>
      <c r="U10" s="7">
        <v>3.0442035029190993E-2</v>
      </c>
    </row>
    <row r="11" spans="1:21" ht="30">
      <c r="A11" s="51" t="s">
        <v>38</v>
      </c>
      <c r="B11" s="52" t="s">
        <v>105</v>
      </c>
      <c r="C11" s="51" t="s">
        <v>106</v>
      </c>
      <c r="D11" s="51" t="s">
        <v>107</v>
      </c>
      <c r="E11" s="51" t="s">
        <v>29</v>
      </c>
      <c r="F11" s="51" t="s">
        <v>108</v>
      </c>
      <c r="G11" s="51" t="s">
        <v>22</v>
      </c>
      <c r="H11" s="6">
        <f t="shared" si="0"/>
        <v>922.82144799999992</v>
      </c>
      <c r="I11" s="7"/>
      <c r="J11" s="51" t="s">
        <v>60</v>
      </c>
      <c r="K11" s="6">
        <v>284.33</v>
      </c>
      <c r="L11" s="18">
        <v>4</v>
      </c>
      <c r="M11" s="6">
        <f>K11*0.8114</f>
        <v>230.70536199999998</v>
      </c>
      <c r="N11" s="6">
        <v>320.76</v>
      </c>
      <c r="O11" s="6">
        <f>N11*B18</f>
        <v>289.16514000000001</v>
      </c>
      <c r="P11" s="6">
        <f t="shared" si="1"/>
        <v>1156.66056</v>
      </c>
      <c r="Q11" s="7"/>
      <c r="R11" s="33"/>
      <c r="S11" s="7">
        <f t="shared" si="2"/>
        <v>0.25339583568066371</v>
      </c>
      <c r="T11" s="7"/>
      <c r="U11" s="7">
        <v>3.1959300808765981E-2</v>
      </c>
    </row>
    <row r="12" spans="1:21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11612.129825</v>
      </c>
      <c r="Q12" s="12"/>
      <c r="R12" s="11"/>
      <c r="S12" s="12">
        <f t="shared" si="2"/>
        <v>0.16787263817665629</v>
      </c>
      <c r="T12" s="12">
        <v>8.4199999999999997E-2</v>
      </c>
      <c r="U12" s="12">
        <f>AVERAGE(U2:U11)</f>
        <v>2.3639858004200431E-2</v>
      </c>
    </row>
    <row r="14" spans="1:21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0" t="s">
        <v>125</v>
      </c>
      <c r="K14" s="15">
        <v>2089.9699999999998</v>
      </c>
      <c r="L14" s="20"/>
      <c r="M14" s="15"/>
      <c r="N14" s="15">
        <f>'170830_langfr_Geldanlage'!N14</f>
        <v>2342.41</v>
      </c>
      <c r="O14" s="15"/>
      <c r="P14" s="15"/>
      <c r="Q14" s="16"/>
      <c r="R14" s="24"/>
      <c r="S14" s="16">
        <f>(N14-K14)/K14</f>
        <v>0.12078642277161877</v>
      </c>
      <c r="T14" s="16">
        <v>6.3600000000000004E-2</v>
      </c>
    </row>
    <row r="17" spans="1:3">
      <c r="A17" s="35" t="s">
        <v>116</v>
      </c>
      <c r="B17" s="35"/>
    </row>
    <row r="18" spans="1:3">
      <c r="A18" s="35" t="s">
        <v>22</v>
      </c>
      <c r="B18" s="35">
        <f>'170830_langfr_Geldanlage'!B18</f>
        <v>0.90149999999999997</v>
      </c>
    </row>
    <row r="19" spans="1:3">
      <c r="A19" s="35" t="s">
        <v>118</v>
      </c>
      <c r="B19" s="1">
        <f>'170830_langfr_Geldanlage'!B19</f>
        <v>1.1899</v>
      </c>
    </row>
    <row r="20" spans="1:3">
      <c r="A20" s="48" t="s">
        <v>14</v>
      </c>
      <c r="B20" s="35">
        <v>0.60309999999999997</v>
      </c>
    </row>
    <row r="21" spans="1:3">
      <c r="A21" s="35" t="s">
        <v>42</v>
      </c>
      <c r="B21" s="1">
        <f>'170830_langfr_Geldanlage'!B21</f>
        <v>0.68130000000000002</v>
      </c>
    </row>
    <row r="24" spans="1:3">
      <c r="A24" s="48" t="s">
        <v>123</v>
      </c>
      <c r="B24" s="49">
        <f>'170830_langfr_Geldanlage'!B25</f>
        <v>43862</v>
      </c>
      <c r="C24" s="53" t="str">
        <f>'171004_langfr_Geldanlage'!C22</f>
        <v>15:00 Uhr</v>
      </c>
    </row>
    <row r="25" spans="1:3">
      <c r="A25" s="48" t="s">
        <v>124</v>
      </c>
      <c r="B25" s="2">
        <v>1.92</v>
      </c>
    </row>
  </sheetData>
  <phoneticPr fontId="20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4" sqref="T4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58" t="s">
        <v>168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70" t="str">
        <f>'170830_langfr_Geldanlage'!T1</f>
        <v>Dividenden-rendite 31.12.2019</v>
      </c>
    </row>
    <row r="2" spans="1:20" ht="30">
      <c r="A2" s="56" t="s">
        <v>131</v>
      </c>
      <c r="B2" s="57" t="s">
        <v>173</v>
      </c>
      <c r="C2" s="56" t="s">
        <v>159</v>
      </c>
      <c r="D2" s="56" t="s">
        <v>161</v>
      </c>
      <c r="E2" s="56" t="s">
        <v>10</v>
      </c>
      <c r="F2" s="56" t="s">
        <v>15</v>
      </c>
      <c r="G2" s="56" t="s">
        <v>16</v>
      </c>
      <c r="H2" s="6">
        <f t="shared" ref="H2:H10" si="0">M2*L2</f>
        <v>1046.6500000000001</v>
      </c>
      <c r="I2" s="7">
        <f>H2/H11</f>
        <v>0.11321168800391755</v>
      </c>
      <c r="J2" s="56" t="s">
        <v>158</v>
      </c>
      <c r="K2" s="6">
        <v>95.15</v>
      </c>
      <c r="L2" s="18">
        <v>11</v>
      </c>
      <c r="M2" s="6">
        <f>K2</f>
        <v>95.15</v>
      </c>
      <c r="N2" s="6">
        <v>89.95</v>
      </c>
      <c r="O2" s="6">
        <f>N2</f>
        <v>89.95</v>
      </c>
      <c r="P2" s="6">
        <f t="shared" ref="P2:P10" si="1">L2*O2</f>
        <v>989.45</v>
      </c>
      <c r="Q2" s="7"/>
      <c r="R2" s="7">
        <f t="shared" ref="R2:R11" si="2">(P2-H2)/H2</f>
        <v>-5.4650551760378391E-2</v>
      </c>
      <c r="S2" s="7"/>
      <c r="T2" s="7">
        <v>9.4999999999999998E-3</v>
      </c>
    </row>
    <row r="3" spans="1:20" ht="30">
      <c r="A3" s="56" t="s">
        <v>4</v>
      </c>
      <c r="B3" s="57" t="s">
        <v>177</v>
      </c>
      <c r="C3" s="57" t="s">
        <v>178</v>
      </c>
      <c r="D3" s="56" t="s">
        <v>179</v>
      </c>
      <c r="E3" s="56" t="s">
        <v>20</v>
      </c>
      <c r="F3" s="56" t="s">
        <v>21</v>
      </c>
      <c r="G3" s="56" t="s">
        <v>22</v>
      </c>
      <c r="H3" s="6">
        <f t="shared" si="0"/>
        <v>1011.1920280000001</v>
      </c>
      <c r="I3" s="7"/>
      <c r="J3" s="56" t="s">
        <v>180</v>
      </c>
      <c r="K3" s="6">
        <v>41.09</v>
      </c>
      <c r="L3" s="18">
        <v>28</v>
      </c>
      <c r="M3" s="6">
        <f>K3*0.8789</f>
        <v>36.114001000000002</v>
      </c>
      <c r="N3" s="6">
        <v>25.6</v>
      </c>
      <c r="O3" s="6">
        <f>N3*B17</f>
        <v>23.078400000000002</v>
      </c>
      <c r="P3" s="6">
        <f t="shared" si="1"/>
        <v>646.19520000000011</v>
      </c>
      <c r="Q3" s="7"/>
      <c r="R3" s="7">
        <f t="shared" si="2"/>
        <v>-0.36095698729143849</v>
      </c>
      <c r="S3" s="7"/>
      <c r="T3" s="7">
        <v>3.2894736842105261E-2</v>
      </c>
    </row>
    <row r="4" spans="1:20">
      <c r="A4" s="56" t="s">
        <v>4</v>
      </c>
      <c r="B4" s="56" t="s">
        <v>181</v>
      </c>
      <c r="C4" s="56" t="s">
        <v>182</v>
      </c>
      <c r="D4" s="56" t="s">
        <v>183</v>
      </c>
      <c r="E4" s="56" t="s">
        <v>10</v>
      </c>
      <c r="F4" s="56" t="s">
        <v>89</v>
      </c>
      <c r="G4" s="56" t="s">
        <v>90</v>
      </c>
      <c r="H4" s="6">
        <f t="shared" si="0"/>
        <v>994.99572000000012</v>
      </c>
      <c r="I4" s="7">
        <f>(H3+H4)/H11</f>
        <v>0.21700081345612954</v>
      </c>
      <c r="J4" s="56" t="s">
        <v>193</v>
      </c>
      <c r="K4" s="6">
        <v>66.45</v>
      </c>
      <c r="L4" s="18">
        <v>17</v>
      </c>
      <c r="M4" s="6">
        <f>K4*0.8808</f>
        <v>58.529160000000005</v>
      </c>
      <c r="N4" s="6">
        <v>64.25</v>
      </c>
      <c r="O4" s="6">
        <f>N4*B19</f>
        <v>60.080175000000004</v>
      </c>
      <c r="P4" s="6">
        <f t="shared" si="1"/>
        <v>1021.3629750000001</v>
      </c>
      <c r="Q4" s="7"/>
      <c r="R4" s="7">
        <f t="shared" si="2"/>
        <v>2.6499867758225128E-2</v>
      </c>
      <c r="S4" s="7"/>
      <c r="T4" s="7">
        <v>4.5344129554655867E-2</v>
      </c>
    </row>
    <row r="5" spans="1:20">
      <c r="A5" s="56" t="s">
        <v>119</v>
      </c>
      <c r="B5" s="56" t="s">
        <v>185</v>
      </c>
      <c r="C5" s="56" t="s">
        <v>184</v>
      </c>
      <c r="D5" s="56" t="s">
        <v>186</v>
      </c>
      <c r="E5" s="56" t="s">
        <v>20</v>
      </c>
      <c r="F5" s="56" t="s">
        <v>21</v>
      </c>
      <c r="G5" s="56" t="s">
        <v>22</v>
      </c>
      <c r="H5" s="6">
        <f t="shared" si="0"/>
        <v>1017.9771360000001</v>
      </c>
      <c r="I5" s="7">
        <f>H5/H11</f>
        <v>0.11011026600673916</v>
      </c>
      <c r="J5" s="56" t="s">
        <v>187</v>
      </c>
      <c r="K5" s="6">
        <v>60.96</v>
      </c>
      <c r="L5" s="18">
        <v>19</v>
      </c>
      <c r="M5" s="6">
        <f>K5*0.8789</f>
        <v>53.577744000000003</v>
      </c>
      <c r="N5" s="6">
        <v>82.63</v>
      </c>
      <c r="O5" s="6">
        <f>N5*B17</f>
        <v>74.490944999999996</v>
      </c>
      <c r="P5" s="6">
        <f t="shared" si="1"/>
        <v>1415.327955</v>
      </c>
      <c r="Q5" s="7"/>
      <c r="R5" s="7">
        <f t="shared" si="2"/>
        <v>0.3903337363364906</v>
      </c>
      <c r="S5" s="7"/>
      <c r="T5" s="7">
        <v>1.7574692442882248E-2</v>
      </c>
    </row>
    <row r="6" spans="1:20">
      <c r="A6" s="56" t="s">
        <v>165</v>
      </c>
      <c r="B6" s="56" t="s">
        <v>171</v>
      </c>
      <c r="C6" s="56" t="s">
        <v>166</v>
      </c>
      <c r="D6" s="56" t="s">
        <v>167</v>
      </c>
      <c r="E6" s="56" t="s">
        <v>29</v>
      </c>
      <c r="F6" s="56" t="s">
        <v>108</v>
      </c>
      <c r="G6" s="56" t="s">
        <v>22</v>
      </c>
      <c r="H6" s="6">
        <f t="shared" si="0"/>
        <v>1058.1340770000002</v>
      </c>
      <c r="I6" s="7">
        <f>H6/H11</f>
        <v>0.11445387186895073</v>
      </c>
      <c r="J6" s="56" t="s">
        <v>169</v>
      </c>
      <c r="K6" s="6">
        <v>171.99</v>
      </c>
      <c r="L6" s="18">
        <v>7</v>
      </c>
      <c r="M6" s="6">
        <f>K6*0.8789</f>
        <v>151.16201100000001</v>
      </c>
      <c r="N6" s="6">
        <v>206.59</v>
      </c>
      <c r="O6" s="6">
        <f>N6*B17</f>
        <v>186.24088499999999</v>
      </c>
      <c r="P6" s="6">
        <f t="shared" si="1"/>
        <v>1303.686195</v>
      </c>
      <c r="Q6" s="7"/>
      <c r="R6" s="7">
        <f t="shared" si="2"/>
        <v>0.23206144035752455</v>
      </c>
      <c r="S6" s="7"/>
      <c r="T6" s="7">
        <v>0</v>
      </c>
    </row>
    <row r="7" spans="1:20" ht="30">
      <c r="A7" s="56" t="s">
        <v>26</v>
      </c>
      <c r="B7" s="57" t="s">
        <v>172</v>
      </c>
      <c r="C7" s="56" t="s">
        <v>162</v>
      </c>
      <c r="D7" s="56" t="s">
        <v>163</v>
      </c>
      <c r="E7" s="56" t="s">
        <v>20</v>
      </c>
      <c r="F7" s="56" t="s">
        <v>21</v>
      </c>
      <c r="G7" s="56" t="s">
        <v>22</v>
      </c>
      <c r="H7" s="6">
        <f t="shared" si="0"/>
        <v>1071.2912100000001</v>
      </c>
      <c r="I7" s="7"/>
      <c r="J7" s="56" t="s">
        <v>164</v>
      </c>
      <c r="K7" s="6">
        <v>203.15</v>
      </c>
      <c r="L7" s="18">
        <v>6</v>
      </c>
      <c r="M7" s="6">
        <f>K7*0.8789</f>
        <v>178.54853500000002</v>
      </c>
      <c r="N7" s="6">
        <v>158.66</v>
      </c>
      <c r="O7" s="6">
        <f>N7*B17</f>
        <v>143.03198999999998</v>
      </c>
      <c r="P7" s="6">
        <f t="shared" si="1"/>
        <v>858.19193999999993</v>
      </c>
      <c r="Q7" s="7"/>
      <c r="R7" s="7">
        <f t="shared" si="2"/>
        <v>-0.19891815410302877</v>
      </c>
      <c r="S7" s="7"/>
      <c r="T7" s="7">
        <v>3.4009749461512299E-2</v>
      </c>
    </row>
    <row r="8" spans="1:20" ht="30">
      <c r="A8" s="56" t="s">
        <v>26</v>
      </c>
      <c r="B8" s="57" t="s">
        <v>188</v>
      </c>
      <c r="C8" s="56" t="s">
        <v>189</v>
      </c>
      <c r="D8" s="56" t="s">
        <v>190</v>
      </c>
      <c r="E8" s="56" t="s">
        <v>10</v>
      </c>
      <c r="F8" s="56" t="s">
        <v>49</v>
      </c>
      <c r="G8" s="56" t="s">
        <v>50</v>
      </c>
      <c r="H8" s="6">
        <f t="shared" si="0"/>
        <v>1007.8210499999999</v>
      </c>
      <c r="I8" s="7">
        <f>(H7+H8)/H11</f>
        <v>0.22488874839176409</v>
      </c>
      <c r="J8" s="56" t="s">
        <v>191</v>
      </c>
      <c r="K8" s="6">
        <v>181.95</v>
      </c>
      <c r="L8" s="18">
        <v>58</v>
      </c>
      <c r="M8" s="6">
        <f>K8*0.0955</f>
        <v>17.376224999999998</v>
      </c>
      <c r="N8" s="6">
        <v>231.3</v>
      </c>
      <c r="O8" s="6">
        <f>N8*B20</f>
        <v>21.672810000000002</v>
      </c>
      <c r="P8" s="6">
        <f t="shared" si="1"/>
        <v>1257.0229800000002</v>
      </c>
      <c r="Q8" s="7"/>
      <c r="R8" s="7">
        <f t="shared" si="2"/>
        <v>0.24726803434002526</v>
      </c>
      <c r="S8" s="7"/>
      <c r="T8" s="7">
        <v>1.6841147018661812E-2</v>
      </c>
    </row>
    <row r="9" spans="1:20" ht="30">
      <c r="A9" s="56" t="s">
        <v>38</v>
      </c>
      <c r="B9" s="57" t="s">
        <v>170</v>
      </c>
      <c r="C9" s="56" t="s">
        <v>174</v>
      </c>
      <c r="D9" s="56" t="s">
        <v>175</v>
      </c>
      <c r="E9" s="56" t="s">
        <v>29</v>
      </c>
      <c r="F9" s="56" t="s">
        <v>108</v>
      </c>
      <c r="G9" s="56" t="s">
        <v>22</v>
      </c>
      <c r="H9" s="6">
        <f t="shared" si="0"/>
        <v>1010.9107800000002</v>
      </c>
      <c r="I9" s="7"/>
      <c r="J9" s="56" t="s">
        <v>176</v>
      </c>
      <c r="K9" s="6">
        <v>42.6</v>
      </c>
      <c r="L9" s="18">
        <v>27</v>
      </c>
      <c r="M9" s="6">
        <f>K9*0.8789</f>
        <v>37.441140000000004</v>
      </c>
      <c r="N9" s="6">
        <v>47.85</v>
      </c>
      <c r="O9" s="6">
        <f>N9*B17</f>
        <v>43.136775</v>
      </c>
      <c r="P9" s="6">
        <f t="shared" si="1"/>
        <v>1164.6929250000001</v>
      </c>
      <c r="Q9" s="7"/>
      <c r="R9" s="7">
        <f t="shared" si="2"/>
        <v>0.15212237127395148</v>
      </c>
      <c r="S9" s="7"/>
      <c r="T9" s="7">
        <v>3.012718447662815E-3</v>
      </c>
    </row>
    <row r="10" spans="1:20" ht="30">
      <c r="A10" s="56" t="s">
        <v>38</v>
      </c>
      <c r="B10" s="57" t="s">
        <v>157</v>
      </c>
      <c r="C10" s="56" t="s">
        <v>156</v>
      </c>
      <c r="D10" s="56" t="s">
        <v>160</v>
      </c>
      <c r="E10" s="56" t="s">
        <v>20</v>
      </c>
      <c r="F10" s="56" t="s">
        <v>21</v>
      </c>
      <c r="G10" s="56" t="s">
        <v>22</v>
      </c>
      <c r="H10" s="6">
        <f t="shared" si="0"/>
        <v>1026.098172</v>
      </c>
      <c r="I10" s="7">
        <f>(H9+H10)/H11</f>
        <v>0.22033461227249898</v>
      </c>
      <c r="J10" s="56" t="s">
        <v>158</v>
      </c>
      <c r="K10" s="6">
        <v>64.86</v>
      </c>
      <c r="L10" s="18">
        <v>18</v>
      </c>
      <c r="M10" s="6">
        <f>K10*0.8789</f>
        <v>57.005454</v>
      </c>
      <c r="N10" s="6">
        <v>71.83</v>
      </c>
      <c r="O10" s="6">
        <f>N10*B17</f>
        <v>64.754745</v>
      </c>
      <c r="P10" s="6">
        <f t="shared" si="1"/>
        <v>1165.5854099999999</v>
      </c>
      <c r="Q10" s="7"/>
      <c r="R10" s="7">
        <f t="shared" si="2"/>
        <v>0.13593946642368634</v>
      </c>
      <c r="S10" s="7"/>
      <c r="T10" s="7">
        <v>1.0900667665894537E-2</v>
      </c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9821.5155799999993</v>
      </c>
      <c r="Q11" s="12"/>
      <c r="R11" s="12">
        <f t="shared" si="2"/>
        <v>6.2351652958080712E-2</v>
      </c>
      <c r="S11" s="12">
        <v>4.1099999999999998E-2</v>
      </c>
      <c r="T11" s="12">
        <f>AVERAGE(T2:T10)</f>
        <v>1.8897537937041648E-2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55" t="s">
        <v>192</v>
      </c>
      <c r="K13" s="15">
        <v>2131.0500000000002</v>
      </c>
      <c r="L13" s="20"/>
      <c r="M13" s="15"/>
      <c r="N13" s="15">
        <f>'170830_langfr_Geldanlage'!N14</f>
        <v>2342.41</v>
      </c>
      <c r="O13" s="15"/>
      <c r="P13" s="15"/>
      <c r="Q13" s="16"/>
      <c r="R13" s="16">
        <f>(N13-K13)/K13</f>
        <v>9.9181154829778587E-2</v>
      </c>
      <c r="S13" s="16">
        <v>7.2300000000000003E-2</v>
      </c>
    </row>
    <row r="16" spans="1:20">
      <c r="A16" s="35" t="s">
        <v>116</v>
      </c>
      <c r="B16" s="35"/>
    </row>
    <row r="17" spans="1:3">
      <c r="A17" s="35" t="s">
        <v>22</v>
      </c>
      <c r="B17" s="35">
        <f>'170830_langfr_Geldanlage'!B18</f>
        <v>0.90149999999999997</v>
      </c>
    </row>
    <row r="18" spans="1:3">
      <c r="A18" s="35" t="s">
        <v>118</v>
      </c>
      <c r="B18" s="1">
        <f>'170830_langfr_Geldanlage'!B19</f>
        <v>1.1899</v>
      </c>
    </row>
    <row r="19" spans="1:3">
      <c r="A19" s="59" t="s">
        <v>90</v>
      </c>
      <c r="B19" s="35">
        <f>'171004_langfr_Geldanlage'!B18</f>
        <v>0.93510000000000004</v>
      </c>
    </row>
    <row r="20" spans="1:3">
      <c r="A20" s="59" t="s">
        <v>50</v>
      </c>
      <c r="B20" s="1">
        <f>'170830_langfr_Geldanlage'!B22</f>
        <v>9.3700000000000006E-2</v>
      </c>
    </row>
    <row r="23" spans="1:3">
      <c r="A23" s="48" t="s">
        <v>123</v>
      </c>
      <c r="B23" s="49">
        <f>'170830_langfr_Geldanlage'!B25</f>
        <v>43862</v>
      </c>
      <c r="C23" s="53" t="str">
        <f>'171004_langfr_Geldanlage'!C22</f>
        <v>15:00 Uhr</v>
      </c>
    </row>
    <row r="24" spans="1:3">
      <c r="A24" s="48" t="s">
        <v>124</v>
      </c>
      <c r="B24" s="2">
        <v>1.5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1" sqref="R11"/>
    </sheetView>
  </sheetViews>
  <sheetFormatPr baseColWidth="10" defaultRowHeight="15" x14ac:dyDescent="0"/>
  <cols>
    <col min="1" max="1" width="19" style="1" bestFit="1" customWidth="1"/>
    <col min="2" max="2" width="41.83203125" style="1" customWidth="1"/>
    <col min="3" max="3" width="25.33203125" style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6" t="s">
        <v>226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70" t="str">
        <f>'170830_langfr_Geldanlage'!T1</f>
        <v>Dividenden-rendite 31.12.2019</v>
      </c>
    </row>
    <row r="2" spans="1:20" ht="30" customHeight="1">
      <c r="A2" s="64" t="s">
        <v>4</v>
      </c>
      <c r="B2" s="63" t="s">
        <v>216</v>
      </c>
      <c r="C2" s="64" t="s">
        <v>217</v>
      </c>
      <c r="D2" s="64" t="s">
        <v>218</v>
      </c>
      <c r="E2" s="64" t="s">
        <v>10</v>
      </c>
      <c r="F2" s="64" t="s">
        <v>112</v>
      </c>
      <c r="G2" s="56" t="s">
        <v>16</v>
      </c>
      <c r="H2" s="6">
        <f t="shared" ref="H2:H10" si="0">M2*L2</f>
        <v>1033.3399999999999</v>
      </c>
      <c r="I2" s="7"/>
      <c r="J2" s="64" t="s">
        <v>219</v>
      </c>
      <c r="K2" s="6">
        <v>93.94</v>
      </c>
      <c r="L2" s="18">
        <v>11</v>
      </c>
      <c r="M2" s="6">
        <f>K2</f>
        <v>93.94</v>
      </c>
      <c r="N2" s="6">
        <v>117</v>
      </c>
      <c r="O2" s="6">
        <f>N2</f>
        <v>117</v>
      </c>
      <c r="P2" s="6">
        <f t="shared" ref="P2:P10" si="1">L2*O2</f>
        <v>1287</v>
      </c>
      <c r="Q2" s="7"/>
      <c r="R2" s="7">
        <f t="shared" ref="R2:R11" si="2">(P2-H2)/H2</f>
        <v>0.24547583563977016</v>
      </c>
      <c r="S2" s="7"/>
      <c r="T2" s="7">
        <v>1.1373578302712161E-2</v>
      </c>
    </row>
    <row r="3" spans="1:20">
      <c r="A3" s="56" t="s">
        <v>4</v>
      </c>
      <c r="B3" s="63" t="s">
        <v>207</v>
      </c>
      <c r="C3" s="63" t="s">
        <v>208</v>
      </c>
      <c r="D3" s="64" t="s">
        <v>209</v>
      </c>
      <c r="E3" s="64" t="s">
        <v>10</v>
      </c>
      <c r="F3" s="64" t="s">
        <v>15</v>
      </c>
      <c r="G3" s="64" t="s">
        <v>16</v>
      </c>
      <c r="H3" s="6">
        <f t="shared" si="0"/>
        <v>1014.7500000000001</v>
      </c>
      <c r="I3" s="7">
        <f>(H2+H3)/H11</f>
        <v>0.22135271582297517</v>
      </c>
      <c r="J3" s="64" t="s">
        <v>210</v>
      </c>
      <c r="K3" s="6">
        <v>67.650000000000006</v>
      </c>
      <c r="L3" s="18">
        <v>15</v>
      </c>
      <c r="M3" s="6">
        <f>K3</f>
        <v>67.650000000000006</v>
      </c>
      <c r="N3" s="6">
        <v>60.94</v>
      </c>
      <c r="O3" s="6">
        <f>N3</f>
        <v>60.94</v>
      </c>
      <c r="P3" s="6">
        <f t="shared" si="1"/>
        <v>914.09999999999991</v>
      </c>
      <c r="Q3" s="7"/>
      <c r="R3" s="7">
        <f t="shared" si="2"/>
        <v>-9.9186991869918889E-2</v>
      </c>
      <c r="S3" s="7"/>
      <c r="T3" s="7">
        <v>4.8190984578884939E-2</v>
      </c>
    </row>
    <row r="4" spans="1:20">
      <c r="A4" s="62" t="s">
        <v>119</v>
      </c>
      <c r="B4" s="62" t="s">
        <v>203</v>
      </c>
      <c r="C4" s="62" t="s">
        <v>202</v>
      </c>
      <c r="D4" s="68" t="s">
        <v>230</v>
      </c>
      <c r="E4" s="62" t="s">
        <v>10</v>
      </c>
      <c r="F4" s="62" t="s">
        <v>34</v>
      </c>
      <c r="G4" s="62" t="s">
        <v>117</v>
      </c>
      <c r="H4" s="6">
        <f t="shared" si="0"/>
        <v>1024.740288</v>
      </c>
      <c r="I4" s="7">
        <f>(H4)/H11</f>
        <v>0.11075150299157639</v>
      </c>
      <c r="J4" s="64" t="s">
        <v>224</v>
      </c>
      <c r="K4" s="6">
        <v>41.47</v>
      </c>
      <c r="L4" s="18">
        <v>22</v>
      </c>
      <c r="M4" s="6">
        <f>K4*1.1232</f>
        <v>46.579104000000001</v>
      </c>
      <c r="N4" s="6">
        <v>46.854999999999997</v>
      </c>
      <c r="O4" s="6">
        <f>N4*B18</f>
        <v>55.752764499999998</v>
      </c>
      <c r="P4" s="6">
        <f t="shared" si="1"/>
        <v>1226.560819</v>
      </c>
      <c r="Q4" s="7"/>
      <c r="R4" s="7">
        <f t="shared" si="2"/>
        <v>0.19694798122351181</v>
      </c>
      <c r="S4" s="7"/>
      <c r="T4" s="7">
        <v>2.227342549923195E-2</v>
      </c>
    </row>
    <row r="5" spans="1:20">
      <c r="A5" s="56" t="s">
        <v>119</v>
      </c>
      <c r="B5" s="62" t="s">
        <v>198</v>
      </c>
      <c r="C5" s="62" t="s">
        <v>199</v>
      </c>
      <c r="D5" s="62" t="s">
        <v>200</v>
      </c>
      <c r="E5" s="56" t="s">
        <v>20</v>
      </c>
      <c r="F5" s="56" t="s">
        <v>21</v>
      </c>
      <c r="G5" s="56" t="s">
        <v>22</v>
      </c>
      <c r="H5" s="6">
        <f t="shared" si="0"/>
        <v>1045.1644920000001</v>
      </c>
      <c r="I5" s="7">
        <f>H5/H11</f>
        <v>0.11295890258042381</v>
      </c>
      <c r="J5" s="62" t="s">
        <v>201</v>
      </c>
      <c r="K5" s="6">
        <v>66.39</v>
      </c>
      <c r="L5" s="18">
        <v>18</v>
      </c>
      <c r="M5" s="6">
        <f>K5*0.8746</f>
        <v>58.064694000000003</v>
      </c>
      <c r="N5" s="6">
        <v>82.14</v>
      </c>
      <c r="O5" s="6">
        <f>N5*B17</f>
        <v>74.049210000000002</v>
      </c>
      <c r="P5" s="6">
        <f t="shared" si="1"/>
        <v>1332.8857800000001</v>
      </c>
      <c r="Q5" s="7"/>
      <c r="R5" s="7">
        <f t="shared" si="2"/>
        <v>0.27528804336762708</v>
      </c>
      <c r="S5" s="7"/>
      <c r="T5" s="7">
        <v>2.1042787000233806E-2</v>
      </c>
    </row>
    <row r="6" spans="1:20">
      <c r="A6" s="56" t="s">
        <v>165</v>
      </c>
      <c r="B6" s="64" t="s">
        <v>212</v>
      </c>
      <c r="C6" s="64" t="s">
        <v>213</v>
      </c>
      <c r="D6" s="64" t="s">
        <v>214</v>
      </c>
      <c r="E6" s="64" t="s">
        <v>10</v>
      </c>
      <c r="F6" s="64" t="s">
        <v>112</v>
      </c>
      <c r="G6" s="64" t="s">
        <v>16</v>
      </c>
      <c r="H6" s="6">
        <f t="shared" si="0"/>
        <v>1020.6</v>
      </c>
      <c r="I6" s="7">
        <f>H6/H11</f>
        <v>0.1103040304717705</v>
      </c>
      <c r="J6" s="64" t="s">
        <v>215</v>
      </c>
      <c r="K6" s="6">
        <v>255.15</v>
      </c>
      <c r="L6" s="18">
        <v>4</v>
      </c>
      <c r="M6" s="6">
        <f>K6</f>
        <v>255.15</v>
      </c>
      <c r="N6" s="6">
        <v>391.45</v>
      </c>
      <c r="O6" s="6">
        <f>N6</f>
        <v>391.45</v>
      </c>
      <c r="P6" s="6">
        <f t="shared" si="1"/>
        <v>1565.8</v>
      </c>
      <c r="Q6" s="7"/>
      <c r="R6" s="7">
        <f t="shared" si="2"/>
        <v>0.53419557123260819</v>
      </c>
      <c r="S6" s="7"/>
      <c r="T6" s="7">
        <v>1.5600624024960999E-2</v>
      </c>
    </row>
    <row r="7" spans="1:20" ht="30" customHeight="1">
      <c r="A7" s="56" t="s">
        <v>26</v>
      </c>
      <c r="B7" s="61" t="s">
        <v>197</v>
      </c>
      <c r="C7" s="62" t="s">
        <v>140</v>
      </c>
      <c r="D7" s="62" t="s">
        <v>146</v>
      </c>
      <c r="E7" s="62" t="s">
        <v>10</v>
      </c>
      <c r="F7" s="62" t="s">
        <v>15</v>
      </c>
      <c r="G7" s="62" t="s">
        <v>16</v>
      </c>
      <c r="H7" s="6">
        <f t="shared" si="0"/>
        <v>1027</v>
      </c>
      <c r="I7" s="7"/>
      <c r="J7" s="64" t="s">
        <v>225</v>
      </c>
      <c r="K7" s="6">
        <v>513.5</v>
      </c>
      <c r="L7" s="18">
        <v>2</v>
      </c>
      <c r="M7" s="6">
        <f>K7</f>
        <v>513.5</v>
      </c>
      <c r="N7" s="6">
        <f>'180302_langfr_Geldanlage'!N7</f>
        <v>679.5</v>
      </c>
      <c r="O7" s="6">
        <f>N7</f>
        <v>679.5</v>
      </c>
      <c r="P7" s="6">
        <f t="shared" si="1"/>
        <v>1359</v>
      </c>
      <c r="Q7" s="7"/>
      <c r="R7" s="7">
        <f t="shared" si="2"/>
        <v>0.32327166504381694</v>
      </c>
      <c r="S7" s="7"/>
      <c r="T7" s="7">
        <v>1.4685314685314685E-2</v>
      </c>
    </row>
    <row r="8" spans="1:20" ht="30">
      <c r="A8" s="56" t="s">
        <v>26</v>
      </c>
      <c r="B8" s="61" t="s">
        <v>194</v>
      </c>
      <c r="C8" s="62" t="s">
        <v>195</v>
      </c>
      <c r="D8" s="62" t="s">
        <v>196</v>
      </c>
      <c r="E8" s="56" t="s">
        <v>10</v>
      </c>
      <c r="F8" s="62" t="s">
        <v>89</v>
      </c>
      <c r="G8" s="62" t="s">
        <v>90</v>
      </c>
      <c r="H8" s="6">
        <f t="shared" si="0"/>
        <v>1049.1519000000001</v>
      </c>
      <c r="I8" s="7">
        <f>(H7+H8)/H11</f>
        <v>0.22438557950384497</v>
      </c>
      <c r="J8" s="64" t="s">
        <v>228</v>
      </c>
      <c r="K8" s="6">
        <v>198.5</v>
      </c>
      <c r="L8" s="18">
        <v>6</v>
      </c>
      <c r="M8" s="6">
        <f>K8*0.8809</f>
        <v>174.85865000000001</v>
      </c>
      <c r="N8" s="6">
        <v>249.4</v>
      </c>
      <c r="O8" s="6">
        <f>N8*B19</f>
        <v>233.21394000000001</v>
      </c>
      <c r="P8" s="6">
        <f t="shared" si="1"/>
        <v>1399.2836400000001</v>
      </c>
      <c r="Q8" s="7"/>
      <c r="R8" s="7">
        <f t="shared" si="2"/>
        <v>0.33372835716162741</v>
      </c>
      <c r="S8" s="7"/>
      <c r="T8" s="7">
        <v>1.6653127538586516E-2</v>
      </c>
    </row>
    <row r="9" spans="1:20">
      <c r="A9" s="62" t="s">
        <v>46</v>
      </c>
      <c r="B9" s="61" t="s">
        <v>204</v>
      </c>
      <c r="C9" s="62" t="s">
        <v>205</v>
      </c>
      <c r="D9" s="62" t="s">
        <v>206</v>
      </c>
      <c r="E9" s="62" t="s">
        <v>20</v>
      </c>
      <c r="F9" s="62" t="s">
        <v>21</v>
      </c>
      <c r="G9" s="56" t="s">
        <v>22</v>
      </c>
      <c r="H9" s="6">
        <f t="shared" si="0"/>
        <v>1085.3436160000001</v>
      </c>
      <c r="I9" s="7">
        <f>(H9)/H11</f>
        <v>0.11730136712875326</v>
      </c>
      <c r="J9" s="64" t="s">
        <v>229</v>
      </c>
      <c r="K9" s="6">
        <v>177.28</v>
      </c>
      <c r="L9" s="18">
        <v>7</v>
      </c>
      <c r="M9" s="6">
        <f>K9*0.8746</f>
        <v>155.04908800000001</v>
      </c>
      <c r="N9" s="6">
        <v>293.73</v>
      </c>
      <c r="O9" s="6">
        <f>N9*B17</f>
        <v>264.797595</v>
      </c>
      <c r="P9" s="6">
        <f t="shared" si="1"/>
        <v>1853.583165</v>
      </c>
      <c r="Q9" s="7"/>
      <c r="R9" s="7">
        <f t="shared" si="2"/>
        <v>0.70783071616648252</v>
      </c>
      <c r="S9" s="7"/>
      <c r="T9" s="7">
        <v>9.2290789232741255E-3</v>
      </c>
    </row>
    <row r="10" spans="1:20">
      <c r="A10" s="56" t="s">
        <v>38</v>
      </c>
      <c r="B10" s="63" t="s">
        <v>220</v>
      </c>
      <c r="C10" s="64" t="s">
        <v>211</v>
      </c>
      <c r="D10" s="64" t="s">
        <v>221</v>
      </c>
      <c r="E10" s="64" t="s">
        <v>20</v>
      </c>
      <c r="F10" s="64" t="s">
        <v>21</v>
      </c>
      <c r="G10" s="56" t="s">
        <v>22</v>
      </c>
      <c r="H10" s="6">
        <f t="shared" si="0"/>
        <v>952.5181140000002</v>
      </c>
      <c r="I10" s="7">
        <f>H10/H11</f>
        <v>0.10294590150065587</v>
      </c>
      <c r="J10" s="64" t="s">
        <v>222</v>
      </c>
      <c r="K10" s="6">
        <v>121.01</v>
      </c>
      <c r="L10" s="18">
        <v>9</v>
      </c>
      <c r="M10" s="6">
        <f>K10*0.8746</f>
        <v>105.83534600000002</v>
      </c>
      <c r="N10" s="6">
        <v>182.31</v>
      </c>
      <c r="O10" s="6">
        <f>N10*B17</f>
        <v>164.352465</v>
      </c>
      <c r="P10" s="6">
        <f t="shared" si="1"/>
        <v>1479.1721849999999</v>
      </c>
      <c r="Q10" s="7"/>
      <c r="R10" s="7">
        <f t="shared" si="2"/>
        <v>0.55290714502884464</v>
      </c>
      <c r="S10" s="7"/>
      <c r="T10" s="7">
        <v>0</v>
      </c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9252.6084100000007</v>
      </c>
      <c r="I11" s="12">
        <f>SUM(I2:I10)</f>
        <v>0.99999999999999989</v>
      </c>
      <c r="J11" s="10"/>
      <c r="K11" s="11"/>
      <c r="L11" s="19"/>
      <c r="M11" s="11"/>
      <c r="N11" s="11"/>
      <c r="O11" s="11"/>
      <c r="P11" s="11">
        <f>SUM(P2:P10)</f>
        <v>12417.385589</v>
      </c>
      <c r="Q11" s="12"/>
      <c r="R11" s="12">
        <f t="shared" si="2"/>
        <v>0.34204162099625685</v>
      </c>
      <c r="S11" s="12">
        <v>0.28849999999999998</v>
      </c>
      <c r="T11" s="12">
        <f>AVERAGE(T2:T10)</f>
        <v>1.76721022836888E-2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5" t="s">
        <v>223</v>
      </c>
      <c r="K13" s="15">
        <v>2009.6</v>
      </c>
      <c r="L13" s="20"/>
      <c r="M13" s="15"/>
      <c r="N13" s="15">
        <f>'170830_langfr_Geldanlage'!N14</f>
        <v>2342.41</v>
      </c>
      <c r="O13" s="15"/>
      <c r="P13" s="15"/>
      <c r="Q13" s="16"/>
      <c r="R13" s="16">
        <f>(N13-K13)/K13</f>
        <v>0.16561007165605093</v>
      </c>
      <c r="S13" s="16">
        <v>0.14449999999999999</v>
      </c>
    </row>
    <row r="16" spans="1:20">
      <c r="A16" s="35" t="s">
        <v>116</v>
      </c>
      <c r="B16" s="35"/>
    </row>
    <row r="17" spans="1:3">
      <c r="A17" s="35" t="s">
        <v>22</v>
      </c>
      <c r="B17" s="35">
        <f>'170830_langfr_Geldanlage'!B18</f>
        <v>0.90149999999999997</v>
      </c>
    </row>
    <row r="18" spans="1:3">
      <c r="A18" s="35" t="s">
        <v>118</v>
      </c>
      <c r="B18" s="1">
        <f>'170830_langfr_Geldanlage'!B19</f>
        <v>1.1899</v>
      </c>
    </row>
    <row r="19" spans="1:3">
      <c r="A19" s="59" t="s">
        <v>90</v>
      </c>
      <c r="B19" s="35">
        <f>'171004_langfr_Geldanlage'!B18</f>
        <v>0.93510000000000004</v>
      </c>
    </row>
    <row r="20" spans="1:3">
      <c r="A20" s="59" t="s">
        <v>50</v>
      </c>
      <c r="B20" s="1">
        <f>'170830_langfr_Geldanlage'!B22</f>
        <v>9.3700000000000006E-2</v>
      </c>
    </row>
    <row r="23" spans="1:3">
      <c r="A23" s="48" t="s">
        <v>123</v>
      </c>
      <c r="B23" s="49">
        <f>'170830_langfr_Geldanlage'!B25</f>
        <v>43862</v>
      </c>
      <c r="C23" s="67" t="s">
        <v>227</v>
      </c>
    </row>
    <row r="24" spans="1:3">
      <c r="A24" s="48" t="s">
        <v>124</v>
      </c>
      <c r="B24" s="2">
        <v>1.25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170830_langfr_Geldanlage</vt:lpstr>
      <vt:lpstr>171004_langfr_Geldanlage</vt:lpstr>
      <vt:lpstr>180302_langfr_Geldanlage</vt:lpstr>
      <vt:lpstr>180817_langfr_Geldanlage</vt:lpstr>
      <vt:lpstr>181120_langfr_Geldanlage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2020-02-01T15:34:52Z</dcterms:modified>
</cp:coreProperties>
</file>