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9" l="1"/>
  <c r="O10" i="7"/>
  <c r="N11" i="6"/>
  <c r="N8" i="6"/>
  <c r="T1" i="9"/>
  <c r="T1" i="7"/>
  <c r="U1" i="6"/>
  <c r="U1" i="2"/>
  <c r="K3" i="6"/>
  <c r="R14" i="1"/>
  <c r="T11" i="9"/>
  <c r="T11" i="7"/>
  <c r="U12" i="6"/>
  <c r="U12" i="2"/>
  <c r="N13" i="9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M3" i="9"/>
  <c r="H3" i="9"/>
  <c r="M6" i="9"/>
  <c r="H6" i="9"/>
  <c r="H11" i="9"/>
  <c r="I10" i="9"/>
  <c r="O6" i="9"/>
  <c r="O3" i="9"/>
  <c r="I3" i="9"/>
  <c r="I9" i="9"/>
  <c r="B18" i="9"/>
  <c r="O4" i="9"/>
  <c r="I4" i="9"/>
  <c r="O7" i="9"/>
  <c r="B19" i="9"/>
  <c r="O8" i="9"/>
  <c r="B23" i="9"/>
  <c r="B20" i="9"/>
  <c r="B17" i="9"/>
  <c r="R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R11" i="9"/>
  <c r="I5" i="9"/>
  <c r="I6" i="9"/>
  <c r="I8" i="9"/>
  <c r="I11" i="9"/>
  <c r="R10" i="9"/>
  <c r="R9" i="9"/>
  <c r="R8" i="9"/>
  <c r="R7" i="9"/>
  <c r="R6" i="9"/>
  <c r="R5" i="9"/>
  <c r="R4" i="9"/>
  <c r="R3" i="9"/>
  <c r="R2" i="9"/>
  <c r="B20" i="7"/>
  <c r="N13" i="7"/>
  <c r="M9" i="7"/>
  <c r="H9" i="7"/>
  <c r="M10" i="7"/>
  <c r="H10" i="7"/>
  <c r="M2" i="7"/>
  <c r="H2" i="7"/>
  <c r="M3" i="7"/>
  <c r="H3" i="7"/>
  <c r="M4" i="7"/>
  <c r="H4" i="7"/>
  <c r="M5" i="7"/>
  <c r="H5" i="7"/>
  <c r="M6" i="7"/>
  <c r="H6" i="7"/>
  <c r="M7" i="7"/>
  <c r="H7" i="7"/>
  <c r="M8" i="7"/>
  <c r="H8" i="7"/>
  <c r="H11" i="7"/>
  <c r="I10" i="7"/>
  <c r="I8" i="7"/>
  <c r="I6" i="7"/>
  <c r="I5" i="7"/>
  <c r="I4" i="7"/>
  <c r="I2" i="7"/>
  <c r="O8" i="7"/>
  <c r="B19" i="7"/>
  <c r="O4" i="7"/>
  <c r="B17" i="7"/>
  <c r="O3" i="7"/>
  <c r="O6" i="7"/>
  <c r="O7" i="7"/>
  <c r="C22" i="2"/>
  <c r="C23" i="7"/>
  <c r="B23" i="7"/>
  <c r="B18" i="7"/>
  <c r="R13" i="7"/>
  <c r="O2" i="7"/>
  <c r="P2" i="7"/>
  <c r="P3" i="7"/>
  <c r="P4" i="7"/>
  <c r="O5" i="7"/>
  <c r="P5" i="7"/>
  <c r="P6" i="7"/>
  <c r="P7" i="7"/>
  <c r="P8" i="7"/>
  <c r="O9" i="7"/>
  <c r="P9" i="7"/>
  <c r="P10" i="7"/>
  <c r="P11" i="7"/>
  <c r="R11" i="7"/>
  <c r="I11" i="7"/>
  <c r="R10" i="7"/>
  <c r="R9" i="7"/>
  <c r="R8" i="7"/>
  <c r="R7" i="7"/>
  <c r="R6" i="7"/>
  <c r="R5" i="7"/>
  <c r="R4" i="7"/>
  <c r="R3" i="7"/>
  <c r="R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<sst xmlns="http://schemas.openxmlformats.org/spreadsheetml/2006/main" count="530" uniqueCount="234">
  <si>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</si>
  <si>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</si>
  <si>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</si>
  <si>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</si>
  <si>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</si>
  <si>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</si>
  <si>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</si>
  <si>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</si>
  <si>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</si>
  <si>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</si>
  <si>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</si>
  <si>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</si>
  <si>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</si>
  <si>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</si>
  <si>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</si>
  <si>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</si>
  <si>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</si>
  <si>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</si>
  <si>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</si>
  <si>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</si>
  <si>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</si>
  <si>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</si>
  <si>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</si>
  <si>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</si>
  <si>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</si>
  <si>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</si>
  <si>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</si>
  <si>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</si>
  <si>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</si>
  <si>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</si>
  <si>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</si>
  <si>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</si>
  <si>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</si>
  <si>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</si>
  <si>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</si>
  <si>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</si>
  <si>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</si>
  <si>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</si>
  <si>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</si>
  <si>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</si>
  <si>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</si>
  <si>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</si>
  <si>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</si>
  <si>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</si>
  <si>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</si>
  <si>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</si>
  <si>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</si>
  <si>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</si>
  <si>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</si>
  <si>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</si>
  <si>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</si>
  <si>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</si>
  <si>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</si>
  <si>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</si>
  <si>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</si>
  <si>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</si>
  <si>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</si>
  <si>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</si>
  <si>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</si>
  <si>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</si>
  <si>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</si>
  <si>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</si>
  <si>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</si>
  <si>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</si>
  <si>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</si>
  <si>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</si>
  <si>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</si>
  <si>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</si>
  <si>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</si>
  <si>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</si>
  <si>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</si>
  <si>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</si>
  <si>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</si>
  <si>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</si>
  <si>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</si>
  <si>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</si>
  <si>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</si>
  <si>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</si>
  <si>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</si>
  <si>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</si>
  <si>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</si>
  <si>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</si>
  <si>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</si>
  <si>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</si>
  <si>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</si>
  <si>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</si>
  <si>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</si>
  <si>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</si>
  <si>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</si>
  <si>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</si>
  <si>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</si>
  <si>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</si>
  <si>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</si>
  <si>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</si>
  <si>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</si>
  <si>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</si>
  <si>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</si>
  <si>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</si>
  <si>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</si>
  <si>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</si>
  <si>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</si>
  <si>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</si>
  <si>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</si>
  <si>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</si>
  <si>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</si>
  <si>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</si>
  <si>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</si>
  <si>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</si>
  <si>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</si>
  <si>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</si>
  <si>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</si>
  <si>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</si>
  <si>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</si>
  <si>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</si>
  <si>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</si>
  <si>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887836 US</t>
  </si>
  <si>
    <t>Währungen</t>
  </si>
  <si>
    <t>GBP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</si>
  <si>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</si>
  <si>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</si>
  <si>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</si>
  <si>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</si>
  <si>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</si>
  <si>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</si>
  <si>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</si>
  <si>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</si>
  <si>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</si>
  <si>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</si>
  <si>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</si>
  <si>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</si>
  <si>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</si>
  <si>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</si>
  <si>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</si>
  <si>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</si>
  <si>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</si>
  <si>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</si>
  <si>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</si>
  <si>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</si>
  <si>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</si>
  <si>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</si>
  <si>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</si>
  <si>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</si>
  <si>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</si>
  <si>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</si>
  <si>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</si>
  <si>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</si>
  <si>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</si>
  <si>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</si>
  <si>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</si>
  <si>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</si>
  <si>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</si>
  <si>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</si>
  <si>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</si>
  <si>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</si>
  <si>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</si>
  <si>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</si>
  <si>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</si>
  <si>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</si>
  <si>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</si>
  <si>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</si>
  <si>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</si>
  <si>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</si>
  <si>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</si>
  <si>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</si>
  <si>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</si>
  <si>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</si>
  <si>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</si>
  <si>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</si>
  <si>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</si>
  <si>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</si>
  <si>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</si>
  <si>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</si>
  <si>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</si>
  <si>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</si>
  <si>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</si>
  <si>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</si>
  <si>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</si>
  <si>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</si>
  <si>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</si>
  <si>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</si>
  <si>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</si>
  <si>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</si>
  <si>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</si>
  <si>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</si>
  <si>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</si>
  <si>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</si>
  <si>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</si>
  <si>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</si>
  <si>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</si>
  <si>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</si>
  <si>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</si>
  <si>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</si>
  <si>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</si>
  <si>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</si>
  <si>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</si>
  <si>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</si>
  <si>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</si>
  <si>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</si>
  <si>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</si>
  <si>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</si>
  <si>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</si>
  <si>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</si>
  <si>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</si>
  <si>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</si>
  <si>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</si>
  <si>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</si>
  <si>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</si>
  <si>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</si>
  <si>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</si>
  <si>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</si>
  <si>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</si>
  <si>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</si>
  <si>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</si>
  <si>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</si>
  <si>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</si>
  <si>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</si>
  <si>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</si>
  <si>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</si>
  <si>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</si>
  <si>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</si>
  <si>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</si>
  <si>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</si>
  <si>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</si>
  <si>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</si>
  <si>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</si>
  <si>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</si>
  <si>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</si>
  <si>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</si>
  <si>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</si>
  <si>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</si>
  <si>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A2PA4R GB</t>
  </si>
  <si>
    <r>
      <t>UGI</t>
    </r>
    <r>
      <rPr>
        <sz val="12"/>
        <color theme="1"/>
        <rFont val="Calibri"/>
        <family val="2"/>
        <charset val="204"/>
        <scheme val="minor"/>
      </rPr>
      <t xml:space="preserve"> Corp.</t>
    </r>
  </si>
  <si>
    <t>Währungskitse v.: 02.03.2020 - ca. 23:20 Uhr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</si>
  <si>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31.01.2020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</si>
</sst>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2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0" fontId="3" fillId="0" borderId="1" xfId="0" applyFont="1" applyFill="1" applyBorder="1"/>
    <xf numFmtId="10" fontId="2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</cellXfs>
  <cellStyles count="332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9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6" sqref="T6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71" t="s">
        <v>233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39.799999999999997</v>
      </c>
      <c r="O2" s="6">
        <f>N2</f>
        <v>39.799999999999997</v>
      </c>
      <c r="P2" s="6">
        <f t="shared" ref="P2:P11" si="1">L2*O2</f>
        <v>875.59999999999991</v>
      </c>
      <c r="Q2" s="7"/>
      <c r="R2" s="7">
        <f t="shared" ref="R2:R12" si="2">(P2-H2)/H2</f>
        <v>-0.12354107024884395</v>
      </c>
      <c r="S2" s="7"/>
      <c r="T2" s="7">
        <v>1.9861622317423923E-2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87.52</v>
      </c>
      <c r="O3" s="6">
        <f>N3</f>
        <v>87.52</v>
      </c>
      <c r="P3" s="6">
        <f t="shared" si="1"/>
        <v>1400.32</v>
      </c>
      <c r="Q3" s="7">
        <f>(P2+P3)/P12</f>
        <v>0.18804626207203842</v>
      </c>
      <c r="R3" s="7">
        <f t="shared" si="2"/>
        <v>0.4207792207792207</v>
      </c>
      <c r="S3" s="7"/>
      <c r="T3" s="7">
        <v>1.0021551724137932E-2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124.4</v>
      </c>
      <c r="O4" s="6">
        <f>N4</f>
        <v>124.4</v>
      </c>
      <c r="P4" s="6">
        <f t="shared" si="1"/>
        <v>1119.6000000000001</v>
      </c>
      <c r="Q4" s="7"/>
      <c r="R4" s="7">
        <f t="shared" si="2"/>
        <v>9.8260792795974411E-2</v>
      </c>
      <c r="S4" s="7"/>
      <c r="T4" s="7">
        <v>9.5901643274657507E-3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18.7</v>
      </c>
      <c r="O5" s="6">
        <f>N5*B19</f>
        <v>21.405889999999999</v>
      </c>
      <c r="P5" s="6">
        <f t="shared" si="1"/>
        <v>856.23559999999998</v>
      </c>
      <c r="Q5" s="7">
        <f>(P4+P5)/P12</f>
        <v>0.1632520031674502</v>
      </c>
      <c r="R5" s="7">
        <f t="shared" si="2"/>
        <v>-0.13824919484702097</v>
      </c>
      <c r="S5" s="7"/>
      <c r="T5" s="7">
        <v>2.5954198473282442E-2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94.31</v>
      </c>
      <c r="O6" s="6">
        <f>N6*B21</f>
        <v>63.564940000000007</v>
      </c>
      <c r="P6" s="6">
        <f t="shared" si="1"/>
        <v>1525.5585600000002</v>
      </c>
      <c r="Q6" s="7"/>
      <c r="R6" s="7">
        <f t="shared" si="2"/>
        <v>0.51633921755725198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53.84</v>
      </c>
      <c r="O7" s="6">
        <f>N7*B18</f>
        <v>48.380623999999997</v>
      </c>
      <c r="P7" s="6">
        <f t="shared" si="1"/>
        <v>1548.1799679999999</v>
      </c>
      <c r="Q7" s="7">
        <f>(P6+P7)/P12</f>
        <v>0.25396544728163095</v>
      </c>
      <c r="R7" s="7">
        <f t="shared" si="2"/>
        <v>0.56016201225411144</v>
      </c>
      <c r="S7" s="7"/>
      <c r="T7" s="7">
        <v>3.2443455691509082E-2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180.45</v>
      </c>
      <c r="O8" s="6">
        <f>N8*B18</f>
        <v>162.15236999999999</v>
      </c>
      <c r="P8" s="6">
        <f t="shared" si="1"/>
        <v>1459.3713299999999</v>
      </c>
      <c r="Q8" s="7"/>
      <c r="R8" s="7">
        <f t="shared" si="2"/>
        <v>0.47558804258804255</v>
      </c>
      <c r="S8" s="7"/>
      <c r="T8" s="7">
        <v>9.5864565804905395E-3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89.38</v>
      </c>
      <c r="O9" s="6">
        <f>N9*B18</f>
        <v>80.316867999999985</v>
      </c>
      <c r="P9" s="6">
        <f t="shared" si="1"/>
        <v>1847.2879639999996</v>
      </c>
      <c r="Q9" s="7">
        <f>(P8+P9)/P12</f>
        <v>0.27321035896800655</v>
      </c>
      <c r="R9" s="7">
        <f t="shared" si="2"/>
        <v>0.81753491740212703</v>
      </c>
      <c r="S9" s="7"/>
      <c r="T9" s="7">
        <v>1.0436137071651089E-2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40.369999999999997</v>
      </c>
      <c r="O10" s="6">
        <f>N10*B18</f>
        <v>36.276481999999994</v>
      </c>
      <c r="P10" s="6">
        <f t="shared" si="1"/>
        <v>652.97667599999988</v>
      </c>
      <c r="Q10" s="7">
        <f>P10/P12</f>
        <v>5.3951730791075472E-2</v>
      </c>
      <c r="R10" s="7">
        <f t="shared" si="2"/>
        <v>-0.32408269051611716</v>
      </c>
      <c r="S10" s="7"/>
      <c r="T10" s="7">
        <v>7.1533768146433821E-2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234.65</v>
      </c>
      <c r="O11" s="6">
        <f>N11*B22</f>
        <v>22.104030000000002</v>
      </c>
      <c r="P11" s="6">
        <f t="shared" si="1"/>
        <v>817.84911000000011</v>
      </c>
      <c r="Q11" s="7">
        <f>P11/P12</f>
        <v>6.7574197719798321E-2</v>
      </c>
      <c r="R11" s="7">
        <f t="shared" si="2"/>
        <v>-0.17583780760626389</v>
      </c>
      <c r="S11" s="7"/>
      <c r="T11" s="7">
        <v>3.5289747399702823E-2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12102.979208000001</v>
      </c>
      <c r="Q12" s="12"/>
      <c r="R12" s="12">
        <f t="shared" si="2"/>
        <v>0.21517929603216127</v>
      </c>
      <c r="S12" s="12">
        <v>8.1100000000000005E-2</v>
      </c>
      <c r="T12" s="12">
        <f>AVERAGE(T2:T11)</f>
        <v>2.2471710173209741E-2</v>
      </c>
    </row>
    <row r="13" spans="1:20">
      <c r="S13" s="60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2141.12</v>
      </c>
      <c r="O14" s="15"/>
      <c r="P14" s="15"/>
      <c r="Q14" s="16"/>
      <c r="R14" s="16">
        <f>(N14-K14)/K14</f>
        <v>9.9402833332477514E-2</v>
      </c>
      <c r="S14" s="16">
        <v>3.8600000000000002E-2</v>
      </c>
    </row>
    <row r="17" spans="1:3">
      <c r="A17" s="35" t="s">
        <v>116</v>
      </c>
      <c r="B17" s="48" t="s">
        <v>149</v>
      </c>
    </row>
    <row r="18" spans="1:3">
      <c r="A18" s="35" t="s">
        <v>22</v>
      </c>
      <c r="B18" s="35">
        <v>0.89859999999999995</v>
      </c>
    </row>
    <row r="19" spans="1:3">
      <c r="A19" s="35" t="s">
        <v>118</v>
      </c>
      <c r="B19" s="1">
        <v>1.1447000000000001</v>
      </c>
    </row>
    <row r="20" spans="1:3">
      <c r="A20" s="35" t="s">
        <v>31</v>
      </c>
      <c r="B20" s="35">
        <v>8.2000000000000007E-3</v>
      </c>
    </row>
    <row r="21" spans="1:3">
      <c r="A21" s="35" t="s">
        <v>42</v>
      </c>
      <c r="B21" s="1">
        <v>0.67400000000000004</v>
      </c>
    </row>
    <row r="22" spans="1:3">
      <c r="A22" s="35" t="s">
        <v>50</v>
      </c>
      <c r="B22" s="35">
        <v>9.4200000000000006E-2</v>
      </c>
    </row>
    <row r="25" spans="1:3">
      <c r="A25" s="48" t="s">
        <v>123</v>
      </c>
      <c r="B25" s="49">
        <v>43890</v>
      </c>
      <c r="C25" s="54" t="s">
        <v>232</v>
      </c>
    </row>
    <row r="26" spans="1:3">
      <c r="A26" s="48" t="s">
        <v>124</v>
      </c>
      <c r="B26" s="2">
        <v>2.5</v>
      </c>
    </row>
    <row r="29" spans="1:3">
      <c r="A29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6" sqref="U6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6" style="44" bestFit="1" customWidth="1"/>
    <col min="19" max="19" width="11.83203125" style="45" customWidth="1"/>
    <col min="20" max="20" width="12.6640625" style="45" customWidth="1"/>
    <col min="21" max="21" width="12" style="3" customWidth="1"/>
    <col min="22" max="16384" width="10.83203125" style="35"/>
  </cols>
  <sheetData>
    <row r="1" spans="1:21" ht="45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120</v>
      </c>
      <c r="O1" s="47" t="s">
        <v>121</v>
      </c>
      <c r="P1" s="47" t="s">
        <v>122</v>
      </c>
      <c r="Q1" s="31" t="s">
        <v>3</v>
      </c>
      <c r="R1" s="29" t="s">
        <v>51</v>
      </c>
      <c r="S1" s="34" t="s">
        <v>70</v>
      </c>
      <c r="T1" s="34" t="s">
        <v>74</v>
      </c>
      <c r="U1" s="70" t="str">
        <f>'170830_langfr_Geldanlage'!T1</f>
        <v>Dividenden-rendite 31.01.2020</v>
      </c>
    </row>
    <row r="2" spans="1:21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905.7</v>
      </c>
      <c r="O2" s="33">
        <f>N2*B19</f>
        <v>121.00152</v>
      </c>
      <c r="P2" s="33">
        <f t="shared" ref="P2:P11" si="1">L2*O2</f>
        <v>1694.0212799999999</v>
      </c>
      <c r="Q2" s="31"/>
      <c r="R2" s="29"/>
      <c r="S2" s="31">
        <f t="shared" ref="S2:S12" si="2">(P2-H2)/H2</f>
        <v>0.67515219812509886</v>
      </c>
      <c r="T2" s="31"/>
      <c r="U2" s="7">
        <v>2.1025107131681299E-2</v>
      </c>
    </row>
    <row r="3" spans="1:21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342</v>
      </c>
      <c r="O3" s="33">
        <f>N3</f>
        <v>342</v>
      </c>
      <c r="P3" s="33">
        <f t="shared" si="1"/>
        <v>684</v>
      </c>
      <c r="Q3" s="31">
        <f>(P2+P3)/P12</f>
        <v>0.18743360928254638</v>
      </c>
      <c r="R3" s="33"/>
      <c r="S3" s="31">
        <f t="shared" si="2"/>
        <v>-0.17887352011159632</v>
      </c>
      <c r="T3" s="31"/>
      <c r="U3" s="7">
        <v>2.464788732394366E-2</v>
      </c>
    </row>
    <row r="4" spans="1:21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479</v>
      </c>
      <c r="O4" s="33">
        <f>N4*B18</f>
        <v>448.2482</v>
      </c>
      <c r="P4" s="33">
        <f t="shared" si="1"/>
        <v>1344.7446</v>
      </c>
      <c r="Q4" s="31"/>
      <c r="R4" s="33"/>
      <c r="S4" s="31">
        <f t="shared" si="2"/>
        <v>0.1163056437950389</v>
      </c>
      <c r="T4" s="31"/>
      <c r="U4" s="7">
        <v>2.1605466296106993E-2</v>
      </c>
    </row>
    <row r="5" spans="1:21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48.8</v>
      </c>
      <c r="O5" s="33">
        <f>N5</f>
        <v>48.8</v>
      </c>
      <c r="P5" s="33">
        <f t="shared" si="1"/>
        <v>878.4</v>
      </c>
      <c r="Q5" s="31"/>
      <c r="R5" s="33"/>
      <c r="S5" s="31">
        <f t="shared" si="2"/>
        <v>-9.7015339636955786E-2</v>
      </c>
      <c r="T5" s="31"/>
      <c r="U5" s="7">
        <v>3.2194598461813634E-2</v>
      </c>
    </row>
    <row r="6" spans="1:21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557.80999999999995</v>
      </c>
      <c r="O6" s="33">
        <f>N6*B17</f>
        <v>501.24806599999994</v>
      </c>
      <c r="P6" s="33">
        <f t="shared" si="1"/>
        <v>2004.9922639999998</v>
      </c>
      <c r="Q6" s="31">
        <f>(P4+P5+P6)/P12</f>
        <v>0.33325814181112245</v>
      </c>
      <c r="R6" s="33"/>
      <c r="S6" s="31">
        <f t="shared" si="2"/>
        <v>1.2432891539045952</v>
      </c>
      <c r="T6" s="31"/>
      <c r="U6" s="7">
        <v>2.0208929237657009E-2</v>
      </c>
    </row>
    <row r="7" spans="1:21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1883.75</v>
      </c>
      <c r="O7" s="33">
        <f>N7*B17</f>
        <v>1692.73775</v>
      </c>
      <c r="P7" s="33">
        <f t="shared" si="1"/>
        <v>1692.73775</v>
      </c>
      <c r="Q7" s="31"/>
      <c r="R7" s="33"/>
      <c r="S7" s="31">
        <f t="shared" si="2"/>
        <v>1.0599103915762531</v>
      </c>
      <c r="T7" s="31"/>
      <c r="U7" s="7">
        <v>0</v>
      </c>
    </row>
    <row r="8" spans="1:21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69.52</v>
      </c>
      <c r="O8" s="33">
        <f>N8*B17</f>
        <v>62.470671999999993</v>
      </c>
      <c r="P8" s="33">
        <f t="shared" si="1"/>
        <v>1561.7667999999999</v>
      </c>
      <c r="Q8" s="31">
        <f>(P7+P8)/P12</f>
        <v>0.2565172731477699</v>
      </c>
      <c r="R8" s="33"/>
      <c r="S8" s="31">
        <f t="shared" si="2"/>
        <v>0.54277885637777334</v>
      </c>
      <c r="T8" s="31"/>
      <c r="U8" s="7">
        <v>1.2934518997574777E-2</v>
      </c>
    </row>
    <row r="9" spans="1:21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318.70999999999998</v>
      </c>
      <c r="O9" s="33">
        <f>N9*B17</f>
        <v>286.39280599999995</v>
      </c>
      <c r="P9" s="33">
        <f t="shared" si="1"/>
        <v>1145.5712239999998</v>
      </c>
      <c r="Q9" s="31">
        <f>(P9)/P12</f>
        <v>9.0292946917844397E-2</v>
      </c>
      <c r="R9" s="33"/>
      <c r="S9" s="31">
        <f t="shared" si="2"/>
        <v>0.24343500515068081</v>
      </c>
      <c r="T9" s="31"/>
      <c r="U9" s="7">
        <v>3.0552437959845372E-2</v>
      </c>
    </row>
    <row r="10" spans="1:21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87.14</v>
      </c>
      <c r="O10" s="33">
        <f>N10</f>
        <v>87.14</v>
      </c>
      <c r="P10" s="33">
        <f t="shared" si="1"/>
        <v>871.4</v>
      </c>
      <c r="Q10" s="31">
        <f>(P10)/P12</f>
        <v>6.86830048589014E-2</v>
      </c>
      <c r="R10" s="33"/>
      <c r="S10" s="31">
        <f t="shared" si="2"/>
        <v>-0.17598108747044919</v>
      </c>
      <c r="T10" s="31"/>
      <c r="U10" s="7">
        <v>2.9554570403208781E-2</v>
      </c>
    </row>
    <row r="11" spans="1:21" ht="28">
      <c r="A11" s="29" t="s">
        <v>113</v>
      </c>
      <c r="B11" s="39" t="s">
        <v>114</v>
      </c>
      <c r="C11" s="69" t="s">
        <v>231</v>
      </c>
      <c r="D11" s="29" t="s">
        <v>115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36.04</v>
      </c>
      <c r="O11" s="33">
        <f>N11*B17</f>
        <v>32.385543999999996</v>
      </c>
      <c r="P11" s="33">
        <f t="shared" si="1"/>
        <v>809.63859999999988</v>
      </c>
      <c r="Q11" s="31">
        <f>(P11)/P12</f>
        <v>6.38150239818156E-2</v>
      </c>
      <c r="R11" s="33"/>
      <c r="S11" s="31">
        <f t="shared" si="2"/>
        <v>-0.19068563156885285</v>
      </c>
      <c r="T11" s="31"/>
      <c r="U11" s="7">
        <v>3.2459725895647995E-2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12687.272517999998</v>
      </c>
      <c r="Q12" s="12">
        <f>SUM(Q2:Q11)</f>
        <v>1</v>
      </c>
      <c r="R12" s="11"/>
      <c r="S12" s="12">
        <f t="shared" si="2"/>
        <v>0.30410650452530169</v>
      </c>
      <c r="T12" s="12">
        <v>0.11600000000000001</v>
      </c>
      <c r="U12" s="12">
        <f>AVERAGE(U2:U11)</f>
        <v>2.2518324170747953E-2</v>
      </c>
    </row>
    <row r="14" spans="1:21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2141.12</v>
      </c>
      <c r="O14" s="41"/>
      <c r="P14" s="41"/>
      <c r="Q14" s="42"/>
      <c r="R14" s="41"/>
      <c r="S14" s="42">
        <f>(N14-K14)/K14</f>
        <v>6.4732717835287459E-2</v>
      </c>
      <c r="T14" s="42">
        <v>2.63E-2</v>
      </c>
    </row>
    <row r="16" spans="1:21">
      <c r="A16" s="35" t="s">
        <v>116</v>
      </c>
    </row>
    <row r="17" spans="1:3">
      <c r="A17" s="35" t="s">
        <v>22</v>
      </c>
      <c r="B17" s="35">
        <f>'170830_langfr_Geldanlage'!B18</f>
        <v>0.89859999999999995</v>
      </c>
    </row>
    <row r="18" spans="1:3">
      <c r="A18" s="35" t="s">
        <v>90</v>
      </c>
      <c r="B18" s="35">
        <v>0.93579999999999997</v>
      </c>
    </row>
    <row r="19" spans="1:3">
      <c r="A19" s="35" t="s">
        <v>83</v>
      </c>
      <c r="B19" s="35">
        <v>0.1336</v>
      </c>
    </row>
    <row r="22" spans="1:3">
      <c r="A22" s="48" t="s">
        <v>123</v>
      </c>
      <c r="B22" s="49">
        <f>'170830_langfr_Geldanlage'!B25</f>
        <v>43890</v>
      </c>
      <c r="C22" s="54" t="str">
        <f>'170830_langfr_Geldanlage'!C25</f>
        <v>Währungskitse v.: 02.03.2020 - ca. 23:20 Uhr</v>
      </c>
    </row>
    <row r="23" spans="1:3">
      <c r="A23" s="48" t="s">
        <v>124</v>
      </c>
      <c r="B23" s="44">
        <v>2.42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4" sqref="Q14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6" style="2" bestFit="1" customWidth="1"/>
    <col min="19" max="19" width="11.83203125" style="3" customWidth="1"/>
    <col min="20" max="20" width="12.6640625" style="3" customWidth="1"/>
    <col min="21" max="21" width="12" style="3" customWidth="1"/>
    <col min="22" max="16384" width="10.83203125" style="1"/>
  </cols>
  <sheetData>
    <row r="1" spans="1:21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130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5" t="s">
        <v>51</v>
      </c>
      <c r="S1" s="9" t="s">
        <v>70</v>
      </c>
      <c r="T1" s="23" t="s">
        <v>74</v>
      </c>
      <c r="U1" s="70" t="str">
        <f>'170830_langfr_Geldanlage'!T1</f>
        <v>Dividenden-rendite 31.01.2020</v>
      </c>
    </row>
    <row r="2" spans="1:21">
      <c r="A2" s="51" t="s">
        <v>126</v>
      </c>
      <c r="B2" s="51" t="s">
        <v>127</v>
      </c>
      <c r="C2" s="51" t="s">
        <v>128</v>
      </c>
      <c r="D2" s="51" t="s">
        <v>129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37.714804000000001</v>
      </c>
      <c r="O2" s="6">
        <f>N2*B21</f>
        <v>25.419777896000003</v>
      </c>
      <c r="P2" s="6">
        <f t="shared" ref="P2:P11" si="1">L2*O2</f>
        <v>1016.7911158400001</v>
      </c>
      <c r="Q2" s="7"/>
      <c r="R2" s="33"/>
      <c r="S2" s="7">
        <f>(P2-H2)/H2</f>
        <v>-8.7284949918123144E-3</v>
      </c>
      <c r="T2" s="7"/>
      <c r="U2" s="7">
        <v>5.8725144025274116E-2</v>
      </c>
    </row>
    <row r="3" spans="1:21">
      <c r="A3" s="51" t="s">
        <v>131</v>
      </c>
      <c r="B3" s="51" t="s">
        <v>132</v>
      </c>
      <c r="C3" s="51" t="s">
        <v>133</v>
      </c>
      <c r="D3" s="51" t="s">
        <v>134</v>
      </c>
      <c r="E3" s="51" t="s">
        <v>29</v>
      </c>
      <c r="F3" s="51" t="s">
        <v>135</v>
      </c>
      <c r="G3" s="51" t="s">
        <v>16</v>
      </c>
      <c r="H3" s="6">
        <f t="shared" si="0"/>
        <v>946.80000000000007</v>
      </c>
      <c r="I3" s="7"/>
      <c r="J3" s="51" t="s">
        <v>136</v>
      </c>
      <c r="K3" s="6">
        <f>78.9/2</f>
        <v>39.450000000000003</v>
      </c>
      <c r="L3" s="18">
        <v>24</v>
      </c>
      <c r="M3" s="6">
        <f>K3</f>
        <v>39.450000000000003</v>
      </c>
      <c r="N3" s="6">
        <v>54.85</v>
      </c>
      <c r="O3" s="6">
        <f>N3</f>
        <v>54.85</v>
      </c>
      <c r="P3" s="6">
        <f t="shared" si="1"/>
        <v>1316.4</v>
      </c>
      <c r="Q3" s="7"/>
      <c r="R3" s="26"/>
      <c r="S3" s="7">
        <f t="shared" ref="S3:S12" si="2">(P3-H3)/H3</f>
        <v>0.39036755386565269</v>
      </c>
      <c r="T3" s="7"/>
      <c r="U3" s="7">
        <v>1.0309424395484462E-2</v>
      </c>
    </row>
    <row r="4" spans="1:21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39.799999999999997</v>
      </c>
      <c r="O4" s="6">
        <f>N4</f>
        <v>39.799999999999997</v>
      </c>
      <c r="P4" s="6">
        <f t="shared" si="1"/>
        <v>994.99999999999989</v>
      </c>
      <c r="Q4" s="7"/>
      <c r="R4" s="28"/>
      <c r="S4" s="7">
        <f t="shared" si="2"/>
        <v>7.0850202429147491E-3</v>
      </c>
      <c r="T4" s="7"/>
      <c r="U4" s="7">
        <v>1.9861622317423923E-2</v>
      </c>
    </row>
    <row r="5" spans="1:21">
      <c r="A5" s="51" t="s">
        <v>17</v>
      </c>
      <c r="B5" s="51" t="s">
        <v>137</v>
      </c>
      <c r="C5" s="51" t="s">
        <v>138</v>
      </c>
      <c r="D5" s="51" t="s">
        <v>139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83.78</v>
      </c>
      <c r="O5" s="6">
        <f>N5</f>
        <v>83.78</v>
      </c>
      <c r="P5" s="6">
        <f t="shared" si="1"/>
        <v>837.8</v>
      </c>
      <c r="Q5" s="7"/>
      <c r="R5" s="33"/>
      <c r="S5" s="7">
        <f t="shared" si="2"/>
        <v>-0.21554307116104873</v>
      </c>
      <c r="T5" s="7"/>
      <c r="U5" s="7">
        <v>2.0692659551296014E-2</v>
      </c>
    </row>
    <row r="6" spans="1:21">
      <c r="A6" s="51" t="s">
        <v>25</v>
      </c>
      <c r="B6" s="51" t="s">
        <v>144</v>
      </c>
      <c r="C6" s="51" t="s">
        <v>142</v>
      </c>
      <c r="D6" s="51" t="s">
        <v>143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172.38</v>
      </c>
      <c r="O6" s="6">
        <f>N6*B18</f>
        <v>154.900668</v>
      </c>
      <c r="P6" s="6">
        <f t="shared" si="1"/>
        <v>929.40400799999998</v>
      </c>
      <c r="Q6" s="7"/>
      <c r="R6" s="22"/>
      <c r="S6" s="7">
        <f t="shared" si="2"/>
        <v>-0.11732276407594598</v>
      </c>
      <c r="T6" s="7"/>
      <c r="U6" s="7">
        <v>1.6356877323420074E-2</v>
      </c>
    </row>
    <row r="7" spans="1:21">
      <c r="A7" s="51" t="s">
        <v>26</v>
      </c>
      <c r="B7" s="51" t="s">
        <v>145</v>
      </c>
      <c r="C7" s="51" t="s">
        <v>140</v>
      </c>
      <c r="D7" s="51" t="s">
        <v>146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147</v>
      </c>
      <c r="K7" s="6">
        <v>507.5</v>
      </c>
      <c r="L7" s="18">
        <v>2</v>
      </c>
      <c r="M7" s="6">
        <f>K7</f>
        <v>507.5</v>
      </c>
      <c r="N7" s="6">
        <v>611.5</v>
      </c>
      <c r="O7" s="6">
        <f>N7</f>
        <v>611.5</v>
      </c>
      <c r="P7" s="6">
        <f t="shared" si="1"/>
        <v>1223</v>
      </c>
      <c r="Q7" s="7"/>
      <c r="R7" s="28"/>
      <c r="S7" s="7">
        <f t="shared" si="2"/>
        <v>0.20492610837438424</v>
      </c>
      <c r="T7" s="7"/>
      <c r="U7" s="7">
        <v>1.5463917525773196E-2</v>
      </c>
    </row>
    <row r="8" spans="1:21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148</v>
      </c>
      <c r="G8" s="51" t="s">
        <v>117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f>'170830_langfr_Geldanlage'!N5</f>
        <v>18.7</v>
      </c>
      <c r="O8" s="6">
        <f>N8*B19</f>
        <v>21.405889999999999</v>
      </c>
      <c r="P8" s="6">
        <f t="shared" si="1"/>
        <v>1006.07683</v>
      </c>
      <c r="Q8" s="7"/>
      <c r="R8" s="33"/>
      <c r="S8" s="7">
        <f t="shared" si="2"/>
        <v>-1.8737866525477157E-2</v>
      </c>
      <c r="T8" s="7"/>
      <c r="U8" s="7">
        <v>2.5954198473282442E-2</v>
      </c>
    </row>
    <row r="9" spans="1:21">
      <c r="A9" s="51" t="s">
        <v>46</v>
      </c>
      <c r="B9" s="51" t="s">
        <v>150</v>
      </c>
      <c r="C9" s="51" t="s">
        <v>151</v>
      </c>
      <c r="D9" s="51" t="s">
        <v>152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463.4</v>
      </c>
      <c r="O9" s="6">
        <f>N9</f>
        <v>463.4</v>
      </c>
      <c r="P9" s="6">
        <f t="shared" si="1"/>
        <v>926.8</v>
      </c>
      <c r="Q9" s="7"/>
      <c r="R9" s="33"/>
      <c r="S9" s="7">
        <f t="shared" si="2"/>
        <v>2.1154693697664092E-2</v>
      </c>
      <c r="T9" s="7"/>
      <c r="U9" s="7">
        <v>6.3594662218515426E-3</v>
      </c>
    </row>
    <row r="10" spans="1:21">
      <c r="A10" s="51" t="s">
        <v>38</v>
      </c>
      <c r="B10" s="51" t="s">
        <v>153</v>
      </c>
      <c r="C10" s="51" t="s">
        <v>141</v>
      </c>
      <c r="D10" s="51" t="s">
        <v>154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155</v>
      </c>
      <c r="K10" s="6">
        <v>43.61</v>
      </c>
      <c r="L10" s="18">
        <v>28</v>
      </c>
      <c r="M10" s="6">
        <f>K10*0.8114</f>
        <v>35.385154</v>
      </c>
      <c r="N10" s="6">
        <v>39.93</v>
      </c>
      <c r="O10" s="6">
        <f>N10*B18</f>
        <v>35.881097999999994</v>
      </c>
      <c r="P10" s="6">
        <f t="shared" si="1"/>
        <v>1004.6707439999998</v>
      </c>
      <c r="Q10" s="7"/>
      <c r="R10" s="28"/>
      <c r="S10" s="7">
        <f t="shared" si="2"/>
        <v>1.4015595353915724E-2</v>
      </c>
      <c r="T10" s="7"/>
      <c r="U10" s="7">
        <v>3.1759843376114857E-2</v>
      </c>
    </row>
    <row r="11" spans="1:21" ht="30">
      <c r="A11" s="51" t="s">
        <v>38</v>
      </c>
      <c r="B11" s="52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f>'171004_langfr_Geldanlage'!N9</f>
        <v>318.70999999999998</v>
      </c>
      <c r="O11" s="6">
        <f>N11*B18</f>
        <v>286.39280599999995</v>
      </c>
      <c r="P11" s="6">
        <f t="shared" si="1"/>
        <v>1145.5712239999998</v>
      </c>
      <c r="Q11" s="7"/>
      <c r="R11" s="33"/>
      <c r="S11" s="7">
        <f t="shared" si="2"/>
        <v>0.24137906252911442</v>
      </c>
      <c r="T11" s="7"/>
      <c r="U11" s="7">
        <v>3.0552437959845372E-2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10401.513921839998</v>
      </c>
      <c r="Q12" s="12"/>
      <c r="R12" s="11"/>
      <c r="S12" s="12">
        <f t="shared" si="2"/>
        <v>4.611674929585946E-2</v>
      </c>
      <c r="T12" s="12">
        <v>2.2800000000000001E-2</v>
      </c>
      <c r="U12" s="12">
        <f>AVERAGE(U2:U11)</f>
        <v>2.3603559116976598E-2</v>
      </c>
    </row>
    <row r="14" spans="1:21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125</v>
      </c>
      <c r="K14" s="15">
        <v>2089.9699999999998</v>
      </c>
      <c r="L14" s="20"/>
      <c r="M14" s="15"/>
      <c r="N14" s="15">
        <f>'170830_langfr_Geldanlage'!N14</f>
        <v>2141.12</v>
      </c>
      <c r="O14" s="15"/>
      <c r="P14" s="15"/>
      <c r="Q14" s="16"/>
      <c r="R14" s="24"/>
      <c r="S14" s="16">
        <f>(N14-K14)/K14</f>
        <v>2.4474035512471518E-2</v>
      </c>
      <c r="T14" s="16">
        <v>1.2200000000000001E-2</v>
      </c>
    </row>
    <row r="17" spans="1:3">
      <c r="A17" s="35" t="s">
        <v>116</v>
      </c>
      <c r="B17" s="35"/>
    </row>
    <row r="18" spans="1:3">
      <c r="A18" s="35" t="s">
        <v>22</v>
      </c>
      <c r="B18" s="35">
        <f>'170830_langfr_Geldanlage'!B18</f>
        <v>0.89859999999999995</v>
      </c>
    </row>
    <row r="19" spans="1:3">
      <c r="A19" s="35" t="s">
        <v>118</v>
      </c>
      <c r="B19" s="1">
        <f>'170830_langfr_Geldanlage'!B19</f>
        <v>1.1447000000000001</v>
      </c>
    </row>
    <row r="20" spans="1:3">
      <c r="A20" s="48" t="s">
        <v>14</v>
      </c>
      <c r="B20" s="35">
        <v>0.58660000000000001</v>
      </c>
    </row>
    <row r="21" spans="1:3">
      <c r="A21" s="35" t="s">
        <v>42</v>
      </c>
      <c r="B21" s="1">
        <f>'170830_langfr_Geldanlage'!B21</f>
        <v>0.67400000000000004</v>
      </c>
    </row>
    <row r="24" spans="1:3">
      <c r="A24" s="48" t="s">
        <v>123</v>
      </c>
      <c r="B24" s="49">
        <f>'170830_langfr_Geldanlage'!B25</f>
        <v>43890</v>
      </c>
      <c r="C24" s="53" t="str">
        <f>'171004_langfr_Geldanlage'!C22</f>
        <v>Währungskitse v.: 02.03.2020 - ca. 23:20 Uhr</v>
      </c>
    </row>
    <row r="25" spans="1:3">
      <c r="A25" s="48" t="s">
        <v>124</v>
      </c>
      <c r="B25" s="2">
        <v>2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1" sqref="R11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58" t="s">
        <v>168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70" t="str">
        <f>'170830_langfr_Geldanlage'!T1</f>
        <v>Dividenden-rendite 31.01.2020</v>
      </c>
    </row>
    <row r="2" spans="1:20" ht="30">
      <c r="A2" s="56" t="s">
        <v>131</v>
      </c>
      <c r="B2" s="57" t="s">
        <v>173</v>
      </c>
      <c r="C2" s="56" t="s">
        <v>159</v>
      </c>
      <c r="D2" s="56" t="s">
        <v>161</v>
      </c>
      <c r="E2" s="56" t="s">
        <v>10</v>
      </c>
      <c r="F2" s="56" t="s">
        <v>15</v>
      </c>
      <c r="G2" s="56" t="s">
        <v>16</v>
      </c>
      <c r="H2" s="6">
        <f t="shared" ref="H2:H10" si="0">M2*L2</f>
        <v>1046.6500000000001</v>
      </c>
      <c r="I2" s="7">
        <f>H2/H11</f>
        <v>0.11321168800391755</v>
      </c>
      <c r="J2" s="56" t="s">
        <v>158</v>
      </c>
      <c r="K2" s="6">
        <v>95.15</v>
      </c>
      <c r="L2" s="18">
        <v>11</v>
      </c>
      <c r="M2" s="6">
        <f>K2</f>
        <v>95.15</v>
      </c>
      <c r="N2" s="6">
        <v>83.2</v>
      </c>
      <c r="O2" s="6">
        <f>N2</f>
        <v>83.2</v>
      </c>
      <c r="P2" s="6">
        <f t="shared" ref="P2:P10" si="1">L2*O2</f>
        <v>915.2</v>
      </c>
      <c r="Q2" s="7"/>
      <c r="R2" s="7">
        <f t="shared" ref="R2:R11" si="2">(P2-H2)/H2</f>
        <v>-0.12559117183394644</v>
      </c>
      <c r="S2" s="7"/>
      <c r="T2" s="7">
        <v>9.9000000000000008E-3</v>
      </c>
    </row>
    <row r="3" spans="1:20" ht="30">
      <c r="A3" s="56" t="s">
        <v>4</v>
      </c>
      <c r="B3" s="57" t="s">
        <v>177</v>
      </c>
      <c r="C3" s="57" t="s">
        <v>178</v>
      </c>
      <c r="D3" s="56" t="s">
        <v>179</v>
      </c>
      <c r="E3" s="56" t="s">
        <v>20</v>
      </c>
      <c r="F3" s="56" t="s">
        <v>21</v>
      </c>
      <c r="G3" s="56" t="s">
        <v>22</v>
      </c>
      <c r="H3" s="6">
        <f t="shared" si="0"/>
        <v>1011.1920280000001</v>
      </c>
      <c r="I3" s="7"/>
      <c r="J3" s="56" t="s">
        <v>180</v>
      </c>
      <c r="K3" s="6">
        <v>41.09</v>
      </c>
      <c r="L3" s="18">
        <v>28</v>
      </c>
      <c r="M3" s="6">
        <f>K3*0.8789</f>
        <v>36.114001000000002</v>
      </c>
      <c r="N3" s="6">
        <v>27.54</v>
      </c>
      <c r="O3" s="6">
        <f>N3*B17</f>
        <v>24.747443999999998</v>
      </c>
      <c r="P3" s="6">
        <f t="shared" si="1"/>
        <v>692.92843199999993</v>
      </c>
      <c r="Q3" s="7"/>
      <c r="R3" s="7">
        <f t="shared" si="2"/>
        <v>-0.31474100584978121</v>
      </c>
      <c r="S3" s="7"/>
      <c r="T3" s="7">
        <v>3.125E-2</v>
      </c>
    </row>
    <row r="4" spans="1:20">
      <c r="A4" s="56" t="s">
        <v>4</v>
      </c>
      <c r="B4" s="56" t="s">
        <v>181</v>
      </c>
      <c r="C4" s="56" t="s">
        <v>182</v>
      </c>
      <c r="D4" s="56" t="s">
        <v>183</v>
      </c>
      <c r="E4" s="56" t="s">
        <v>10</v>
      </c>
      <c r="F4" s="56" t="s">
        <v>89</v>
      </c>
      <c r="G4" s="56" t="s">
        <v>90</v>
      </c>
      <c r="H4" s="6">
        <f t="shared" si="0"/>
        <v>994.99572000000012</v>
      </c>
      <c r="I4" s="7">
        <f>(H3+H4)/H11</f>
        <v>0.21700081345612954</v>
      </c>
      <c r="J4" s="56" t="s">
        <v>193</v>
      </c>
      <c r="K4" s="6">
        <v>66.45</v>
      </c>
      <c r="L4" s="18">
        <v>17</v>
      </c>
      <c r="M4" s="6">
        <f>K4*0.8808</f>
        <v>58.529160000000005</v>
      </c>
      <c r="N4" s="6">
        <v>55.5</v>
      </c>
      <c r="O4" s="6">
        <f>N4*B19</f>
        <v>51.936900000000001</v>
      </c>
      <c r="P4" s="6">
        <f t="shared" si="1"/>
        <v>882.92730000000006</v>
      </c>
      <c r="Q4" s="7"/>
      <c r="R4" s="7">
        <f t="shared" si="2"/>
        <v>-0.11263206237711258</v>
      </c>
      <c r="S4" s="7"/>
      <c r="T4" s="7">
        <v>4.6589018302828612E-2</v>
      </c>
    </row>
    <row r="5" spans="1:20">
      <c r="A5" s="56" t="s">
        <v>119</v>
      </c>
      <c r="B5" s="56" t="s">
        <v>185</v>
      </c>
      <c r="C5" s="56" t="s">
        <v>184</v>
      </c>
      <c r="D5" s="56" t="s">
        <v>186</v>
      </c>
      <c r="E5" s="56" t="s">
        <v>20</v>
      </c>
      <c r="F5" s="56" t="s">
        <v>21</v>
      </c>
      <c r="G5" s="56" t="s">
        <v>22</v>
      </c>
      <c r="H5" s="6">
        <f t="shared" si="0"/>
        <v>1017.9771360000001</v>
      </c>
      <c r="I5" s="7">
        <f>H5/H11</f>
        <v>0.11011026600673916</v>
      </c>
      <c r="J5" s="56" t="s">
        <v>187</v>
      </c>
      <c r="K5" s="6">
        <v>60.96</v>
      </c>
      <c r="L5" s="18">
        <v>19</v>
      </c>
      <c r="M5" s="6">
        <f>K5*0.8789</f>
        <v>53.577744000000003</v>
      </c>
      <c r="N5" s="6">
        <v>67.83</v>
      </c>
      <c r="O5" s="6">
        <f>N5*B17</f>
        <v>60.952037999999995</v>
      </c>
      <c r="P5" s="6">
        <f t="shared" si="1"/>
        <v>1158.088722</v>
      </c>
      <c r="Q5" s="7"/>
      <c r="R5" s="7">
        <f t="shared" si="2"/>
        <v>0.13763726221843145</v>
      </c>
      <c r="S5" s="7"/>
      <c r="T5" s="7">
        <v>2.0331598692968657E-2</v>
      </c>
    </row>
    <row r="6" spans="1:20">
      <c r="A6" s="56" t="s">
        <v>165</v>
      </c>
      <c r="B6" s="56" t="s">
        <v>171</v>
      </c>
      <c r="C6" s="56" t="s">
        <v>166</v>
      </c>
      <c r="D6" s="56" t="s">
        <v>167</v>
      </c>
      <c r="E6" s="56" t="s">
        <v>29</v>
      </c>
      <c r="F6" s="56" t="s">
        <v>108</v>
      </c>
      <c r="G6" s="56" t="s">
        <v>22</v>
      </c>
      <c r="H6" s="6">
        <f t="shared" si="0"/>
        <v>1058.1340770000002</v>
      </c>
      <c r="I6" s="7">
        <f>H6/H11</f>
        <v>0.11445387186895073</v>
      </c>
      <c r="J6" s="56" t="s">
        <v>169</v>
      </c>
      <c r="K6" s="6">
        <v>171.99</v>
      </c>
      <c r="L6" s="18">
        <v>7</v>
      </c>
      <c r="M6" s="6">
        <f>K6*0.8789</f>
        <v>151.16201100000001</v>
      </c>
      <c r="N6" s="6">
        <v>208</v>
      </c>
      <c r="O6" s="6">
        <f>N6*B17</f>
        <v>186.90879999999999</v>
      </c>
      <c r="P6" s="6">
        <f t="shared" si="1"/>
        <v>1308.3616</v>
      </c>
      <c r="Q6" s="7"/>
      <c r="R6" s="7">
        <f t="shared" si="2"/>
        <v>0.23647997776372506</v>
      </c>
      <c r="S6" s="7"/>
      <c r="T6" s="7">
        <v>0</v>
      </c>
    </row>
    <row r="7" spans="1:20" ht="30">
      <c r="A7" s="56" t="s">
        <v>26</v>
      </c>
      <c r="B7" s="57" t="s">
        <v>172</v>
      </c>
      <c r="C7" s="56" t="s">
        <v>162</v>
      </c>
      <c r="D7" s="56" t="s">
        <v>163</v>
      </c>
      <c r="E7" s="56" t="s">
        <v>20</v>
      </c>
      <c r="F7" s="56" t="s">
        <v>21</v>
      </c>
      <c r="G7" s="56" t="s">
        <v>22</v>
      </c>
      <c r="H7" s="6">
        <f t="shared" si="0"/>
        <v>1071.2912100000001</v>
      </c>
      <c r="I7" s="7"/>
      <c r="J7" s="56" t="s">
        <v>164</v>
      </c>
      <c r="K7" s="6">
        <v>203.15</v>
      </c>
      <c r="L7" s="18">
        <v>6</v>
      </c>
      <c r="M7" s="6">
        <f>K7*0.8789</f>
        <v>178.54853500000002</v>
      </c>
      <c r="N7" s="6">
        <v>149.24</v>
      </c>
      <c r="O7" s="6">
        <f>N7*B17</f>
        <v>134.10706400000001</v>
      </c>
      <c r="P7" s="6">
        <f t="shared" si="1"/>
        <v>804.64238399999999</v>
      </c>
      <c r="Q7" s="7"/>
      <c r="R7" s="7">
        <f t="shared" si="2"/>
        <v>-0.24890414810740402</v>
      </c>
      <c r="S7" s="7"/>
      <c r="T7" s="7">
        <v>3.7060380688264213E-2</v>
      </c>
    </row>
    <row r="8" spans="1:20" ht="30">
      <c r="A8" s="56" t="s">
        <v>26</v>
      </c>
      <c r="B8" s="57" t="s">
        <v>188</v>
      </c>
      <c r="C8" s="56" t="s">
        <v>189</v>
      </c>
      <c r="D8" s="56" t="s">
        <v>190</v>
      </c>
      <c r="E8" s="56" t="s">
        <v>10</v>
      </c>
      <c r="F8" s="56" t="s">
        <v>49</v>
      </c>
      <c r="G8" s="56" t="s">
        <v>50</v>
      </c>
      <c r="H8" s="6">
        <f t="shared" si="0"/>
        <v>1007.8210499999999</v>
      </c>
      <c r="I8" s="7">
        <f>(H7+H8)/H11</f>
        <v>0.22488874839176409</v>
      </c>
      <c r="J8" s="56" t="s">
        <v>191</v>
      </c>
      <c r="K8" s="6">
        <v>181.95</v>
      </c>
      <c r="L8" s="18">
        <v>58</v>
      </c>
      <c r="M8" s="6">
        <f>K8*0.0955</f>
        <v>17.376224999999998</v>
      </c>
      <c r="N8" s="6">
        <v>212.65</v>
      </c>
      <c r="O8" s="6">
        <f>N8*B20</f>
        <v>20.031630000000003</v>
      </c>
      <c r="P8" s="6">
        <f t="shared" si="1"/>
        <v>1161.8345400000003</v>
      </c>
      <c r="Q8" s="7"/>
      <c r="R8" s="7">
        <f t="shared" si="2"/>
        <v>0.15281829050901488</v>
      </c>
      <c r="S8" s="7"/>
      <c r="T8" s="7">
        <v>1.5996541288370081E-2</v>
      </c>
    </row>
    <row r="9" spans="1:20" ht="30">
      <c r="A9" s="56" t="s">
        <v>38</v>
      </c>
      <c r="B9" s="57" t="s">
        <v>170</v>
      </c>
      <c r="C9" s="56" t="s">
        <v>174</v>
      </c>
      <c r="D9" s="56" t="s">
        <v>175</v>
      </c>
      <c r="E9" s="56" t="s">
        <v>29</v>
      </c>
      <c r="F9" s="56" t="s">
        <v>108</v>
      </c>
      <c r="G9" s="56" t="s">
        <v>22</v>
      </c>
      <c r="H9" s="6">
        <f t="shared" si="0"/>
        <v>1010.9107800000002</v>
      </c>
      <c r="I9" s="7"/>
      <c r="J9" s="56" t="s">
        <v>176</v>
      </c>
      <c r="K9" s="6">
        <v>42.6</v>
      </c>
      <c r="L9" s="18">
        <v>27</v>
      </c>
      <c r="M9" s="6">
        <f>K9*0.8789</f>
        <v>37.441140000000004</v>
      </c>
      <c r="N9" s="6">
        <v>49.65</v>
      </c>
      <c r="O9" s="6">
        <f>N9*B17</f>
        <v>44.615489999999994</v>
      </c>
      <c r="P9" s="6">
        <f t="shared" si="1"/>
        <v>1204.6182299999998</v>
      </c>
      <c r="Q9" s="7"/>
      <c r="R9" s="7">
        <f t="shared" si="2"/>
        <v>0.19161676166911548</v>
      </c>
      <c r="S9" s="7"/>
      <c r="T9" s="7">
        <v>3.1064307446508604E-3</v>
      </c>
    </row>
    <row r="10" spans="1:20" ht="30">
      <c r="A10" s="56" t="s">
        <v>38</v>
      </c>
      <c r="B10" s="57" t="s">
        <v>157</v>
      </c>
      <c r="C10" s="56" t="s">
        <v>156</v>
      </c>
      <c r="D10" s="56" t="s">
        <v>160</v>
      </c>
      <c r="E10" s="56" t="s">
        <v>20</v>
      </c>
      <c r="F10" s="56" t="s">
        <v>21</v>
      </c>
      <c r="G10" s="56" t="s">
        <v>22</v>
      </c>
      <c r="H10" s="6">
        <f t="shared" si="0"/>
        <v>1026.098172</v>
      </c>
      <c r="I10" s="7">
        <f>(H9+H10)/H11</f>
        <v>0.22033461227249898</v>
      </c>
      <c r="J10" s="56" t="s">
        <v>158</v>
      </c>
      <c r="K10" s="6">
        <v>64.86</v>
      </c>
      <c r="L10" s="18">
        <v>18</v>
      </c>
      <c r="M10" s="6">
        <f>K10*0.8789</f>
        <v>57.005454</v>
      </c>
      <c r="N10" s="6">
        <v>69.27</v>
      </c>
      <c r="O10" s="6">
        <f>N10*B17</f>
        <v>62.246021999999996</v>
      </c>
      <c r="P10" s="6">
        <f t="shared" si="1"/>
        <v>1120.428396</v>
      </c>
      <c r="Q10" s="7"/>
      <c r="R10" s="7">
        <f t="shared" si="2"/>
        <v>9.1930993129183791E-2</v>
      </c>
      <c r="S10" s="7"/>
      <c r="T10" s="7">
        <v>1.113740776834192E-2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9249.0296039999994</v>
      </c>
      <c r="Q11" s="12"/>
      <c r="R11" s="12">
        <f t="shared" si="2"/>
        <v>4.2827484550228009E-4</v>
      </c>
      <c r="S11" s="12">
        <v>2.9999999999999997E-4</v>
      </c>
      <c r="T11" s="12">
        <f>AVERAGE(T2:T10)</f>
        <v>1.9485708609491597E-2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5" t="s">
        <v>192</v>
      </c>
      <c r="K13" s="15">
        <v>2131.0500000000002</v>
      </c>
      <c r="L13" s="20"/>
      <c r="M13" s="15"/>
      <c r="N13" s="15">
        <f>'170830_langfr_Geldanlage'!N14</f>
        <v>2141.12</v>
      </c>
      <c r="O13" s="15"/>
      <c r="P13" s="15"/>
      <c r="Q13" s="16"/>
      <c r="R13" s="16">
        <f>(N13-K13)/K13</f>
        <v>4.7253701227093258E-3</v>
      </c>
      <c r="S13" s="16">
        <v>3.0000000000000001E-3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0.89859999999999995</v>
      </c>
    </row>
    <row r="18" spans="1:3">
      <c r="A18" s="35" t="s">
        <v>118</v>
      </c>
      <c r="B18" s="1">
        <f>'170830_langfr_Geldanlage'!B19</f>
        <v>1.1447000000000001</v>
      </c>
    </row>
    <row r="19" spans="1:3">
      <c r="A19" s="59" t="s">
        <v>90</v>
      </c>
      <c r="B19" s="35">
        <f>'171004_langfr_Geldanlage'!B18</f>
        <v>0.93579999999999997</v>
      </c>
    </row>
    <row r="20" spans="1:3">
      <c r="A20" s="59" t="s">
        <v>50</v>
      </c>
      <c r="B20" s="1">
        <f>'170830_langfr_Geldanlage'!B22</f>
        <v>9.4200000000000006E-2</v>
      </c>
    </row>
    <row r="23" spans="1:3">
      <c r="A23" s="48" t="s">
        <v>123</v>
      </c>
      <c r="B23" s="49">
        <f>'170830_langfr_Geldanlage'!B25</f>
        <v>43890</v>
      </c>
      <c r="C23" s="53" t="str">
        <f>'171004_langfr_Geldanlage'!C22</f>
        <v>Währungskitse v.: 02.03.2020 - ca. 23:20 Uhr</v>
      </c>
    </row>
    <row r="24" spans="1:3">
      <c r="A24" s="48" t="s">
        <v>124</v>
      </c>
      <c r="B24" s="2">
        <v>1.58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6" t="s">
        <v>226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70" t="str">
        <f>'170830_langfr_Geldanlage'!T1</f>
        <v>Dividenden-rendite 31.01.2020</v>
      </c>
    </row>
    <row r="2" spans="1:20" ht="30" customHeight="1">
      <c r="A2" s="64" t="s">
        <v>4</v>
      </c>
      <c r="B2" s="63" t="s">
        <v>216</v>
      </c>
      <c r="C2" s="64" t="s">
        <v>217</v>
      </c>
      <c r="D2" s="64" t="s">
        <v>218</v>
      </c>
      <c r="E2" s="64" t="s">
        <v>10</v>
      </c>
      <c r="F2" s="64" t="s">
        <v>112</v>
      </c>
      <c r="G2" s="56" t="s">
        <v>16</v>
      </c>
      <c r="H2" s="6">
        <f t="shared" ref="H2:H10" si="0">M2*L2</f>
        <v>1033.3399999999999</v>
      </c>
      <c r="I2" s="7"/>
      <c r="J2" s="64" t="s">
        <v>219</v>
      </c>
      <c r="K2" s="6">
        <v>93.94</v>
      </c>
      <c r="L2" s="18">
        <v>11</v>
      </c>
      <c r="M2" s="6">
        <f>K2</f>
        <v>93.94</v>
      </c>
      <c r="N2" s="6">
        <v>116.5</v>
      </c>
      <c r="O2" s="6">
        <f>N2</f>
        <v>116.5</v>
      </c>
      <c r="P2" s="6">
        <f t="shared" ref="P2:P10" si="1">L2*O2</f>
        <v>1281.5</v>
      </c>
      <c r="Q2" s="7"/>
      <c r="R2" s="7">
        <f t="shared" ref="R2:R11" si="2">(P2-H2)/H2</f>
        <v>0.24015328933361729</v>
      </c>
      <c r="S2" s="7"/>
      <c r="T2" s="7">
        <v>1.1054421768707483E-2</v>
      </c>
    </row>
    <row r="3" spans="1:20">
      <c r="A3" s="56" t="s">
        <v>4</v>
      </c>
      <c r="B3" s="63" t="s">
        <v>207</v>
      </c>
      <c r="C3" s="63" t="s">
        <v>208</v>
      </c>
      <c r="D3" s="64" t="s">
        <v>209</v>
      </c>
      <c r="E3" s="64" t="s">
        <v>10</v>
      </c>
      <c r="F3" s="64" t="s">
        <v>15</v>
      </c>
      <c r="G3" s="64" t="s">
        <v>16</v>
      </c>
      <c r="H3" s="6">
        <f t="shared" si="0"/>
        <v>1014.7500000000001</v>
      </c>
      <c r="I3" s="7">
        <f>(H2+H3)/H11</f>
        <v>0.22135271582297517</v>
      </c>
      <c r="J3" s="64" t="s">
        <v>210</v>
      </c>
      <c r="K3" s="6">
        <v>67.650000000000006</v>
      </c>
      <c r="L3" s="18">
        <v>15</v>
      </c>
      <c r="M3" s="6">
        <f>K3</f>
        <v>67.650000000000006</v>
      </c>
      <c r="N3" s="6">
        <v>53.1</v>
      </c>
      <c r="O3" s="6">
        <f>N3</f>
        <v>53.1</v>
      </c>
      <c r="P3" s="6">
        <f t="shared" si="1"/>
        <v>796.5</v>
      </c>
      <c r="Q3" s="7"/>
      <c r="R3" s="7">
        <f t="shared" si="2"/>
        <v>-0.21507760532150785</v>
      </c>
      <c r="S3" s="7"/>
      <c r="T3" s="7">
        <v>5.3261225827597507E-2</v>
      </c>
    </row>
    <row r="4" spans="1:20">
      <c r="A4" s="62" t="s">
        <v>119</v>
      </c>
      <c r="B4" s="62" t="s">
        <v>203</v>
      </c>
      <c r="C4" s="62" t="s">
        <v>202</v>
      </c>
      <c r="D4" s="68" t="s">
        <v>230</v>
      </c>
      <c r="E4" s="62" t="s">
        <v>10</v>
      </c>
      <c r="F4" s="62" t="s">
        <v>34</v>
      </c>
      <c r="G4" s="62" t="s">
        <v>117</v>
      </c>
      <c r="H4" s="6">
        <f t="shared" si="0"/>
        <v>1024.740288</v>
      </c>
      <c r="I4" s="7">
        <f>(H4)/H11</f>
        <v>0.11075150299157639</v>
      </c>
      <c r="J4" s="64" t="s">
        <v>224</v>
      </c>
      <c r="K4" s="6">
        <v>41.47</v>
      </c>
      <c r="L4" s="18">
        <v>22</v>
      </c>
      <c r="M4" s="6">
        <f>K4*1.1232</f>
        <v>46.579104000000001</v>
      </c>
      <c r="N4" s="6">
        <v>43.02</v>
      </c>
      <c r="O4" s="6">
        <f>N4*B18</f>
        <v>49.244994000000005</v>
      </c>
      <c r="P4" s="6">
        <f t="shared" si="1"/>
        <v>1083.3898680000002</v>
      </c>
      <c r="Q4" s="7"/>
      <c r="R4" s="7">
        <f t="shared" si="2"/>
        <v>5.7233604150050015E-2</v>
      </c>
      <c r="S4" s="7"/>
      <c r="T4" s="7">
        <v>2.4759871931696906E-2</v>
      </c>
    </row>
    <row r="5" spans="1:20">
      <c r="A5" s="56" t="s">
        <v>119</v>
      </c>
      <c r="B5" s="62" t="s">
        <v>198</v>
      </c>
      <c r="C5" s="62" t="s">
        <v>199</v>
      </c>
      <c r="D5" s="62" t="s">
        <v>200</v>
      </c>
      <c r="E5" s="56" t="s">
        <v>20</v>
      </c>
      <c r="F5" s="56" t="s">
        <v>21</v>
      </c>
      <c r="G5" s="56" t="s">
        <v>22</v>
      </c>
      <c r="H5" s="6">
        <f t="shared" si="0"/>
        <v>1045.1644920000001</v>
      </c>
      <c r="I5" s="7">
        <f>H5/H11</f>
        <v>0.11295890258042381</v>
      </c>
      <c r="J5" s="62" t="s">
        <v>201</v>
      </c>
      <c r="K5" s="6">
        <v>66.39</v>
      </c>
      <c r="L5" s="18">
        <v>18</v>
      </c>
      <c r="M5" s="6">
        <f>K5*0.8746</f>
        <v>58.064694000000003</v>
      </c>
      <c r="N5" s="6">
        <v>66.650000000000006</v>
      </c>
      <c r="O5" s="6">
        <f>N5*B17</f>
        <v>59.891690000000004</v>
      </c>
      <c r="P5" s="6">
        <f t="shared" si="1"/>
        <v>1078.05042</v>
      </c>
      <c r="Q5" s="7"/>
      <c r="R5" s="7">
        <f t="shared" si="2"/>
        <v>3.1464834723833997E-2</v>
      </c>
      <c r="S5" s="7"/>
      <c r="T5" s="7">
        <v>2.1913805697589481E-2</v>
      </c>
    </row>
    <row r="6" spans="1:20">
      <c r="A6" s="56" t="s">
        <v>165</v>
      </c>
      <c r="B6" s="64" t="s">
        <v>212</v>
      </c>
      <c r="C6" s="64" t="s">
        <v>213</v>
      </c>
      <c r="D6" s="64" t="s">
        <v>214</v>
      </c>
      <c r="E6" s="64" t="s">
        <v>10</v>
      </c>
      <c r="F6" s="64" t="s">
        <v>112</v>
      </c>
      <c r="G6" s="64" t="s">
        <v>16</v>
      </c>
      <c r="H6" s="6">
        <f t="shared" si="0"/>
        <v>1020.6</v>
      </c>
      <c r="I6" s="7">
        <f>H6/H11</f>
        <v>0.1103040304717705</v>
      </c>
      <c r="J6" s="64" t="s">
        <v>215</v>
      </c>
      <c r="K6" s="6">
        <v>255.15</v>
      </c>
      <c r="L6" s="18">
        <v>4</v>
      </c>
      <c r="M6" s="6">
        <f>K6</f>
        <v>255.15</v>
      </c>
      <c r="N6" s="6">
        <v>373.75</v>
      </c>
      <c r="O6" s="6">
        <f>N6</f>
        <v>373.75</v>
      </c>
      <c r="P6" s="6">
        <f t="shared" si="1"/>
        <v>1495</v>
      </c>
      <c r="Q6" s="7"/>
      <c r="R6" s="7">
        <f t="shared" si="2"/>
        <v>0.46482461297276106</v>
      </c>
      <c r="S6" s="7"/>
      <c r="T6" s="7">
        <v>1.7219549252975436E-2</v>
      </c>
    </row>
    <row r="7" spans="1:20" ht="30" customHeight="1">
      <c r="A7" s="56" t="s">
        <v>26</v>
      </c>
      <c r="B7" s="61" t="s">
        <v>197</v>
      </c>
      <c r="C7" s="62" t="s">
        <v>140</v>
      </c>
      <c r="D7" s="62" t="s">
        <v>146</v>
      </c>
      <c r="E7" s="62" t="s">
        <v>10</v>
      </c>
      <c r="F7" s="62" t="s">
        <v>15</v>
      </c>
      <c r="G7" s="62" t="s">
        <v>16</v>
      </c>
      <c r="H7" s="6">
        <f t="shared" si="0"/>
        <v>1027</v>
      </c>
      <c r="I7" s="7"/>
      <c r="J7" s="64" t="s">
        <v>225</v>
      </c>
      <c r="K7" s="6">
        <v>513.5</v>
      </c>
      <c r="L7" s="18">
        <v>2</v>
      </c>
      <c r="M7" s="6">
        <f>K7</f>
        <v>513.5</v>
      </c>
      <c r="N7" s="6">
        <f>'180302_langfr_Geldanlage'!N7</f>
        <v>611.5</v>
      </c>
      <c r="O7" s="6">
        <f>N7</f>
        <v>611.5</v>
      </c>
      <c r="P7" s="6">
        <f t="shared" si="1"/>
        <v>1223</v>
      </c>
      <c r="Q7" s="7"/>
      <c r="R7" s="7">
        <f t="shared" si="2"/>
        <v>0.19084712755598832</v>
      </c>
      <c r="S7" s="7"/>
      <c r="T7" s="7">
        <v>1.5463917525773196E-2</v>
      </c>
    </row>
    <row r="8" spans="1:20" ht="30">
      <c r="A8" s="56" t="s">
        <v>26</v>
      </c>
      <c r="B8" s="61" t="s">
        <v>194</v>
      </c>
      <c r="C8" s="62" t="s">
        <v>195</v>
      </c>
      <c r="D8" s="62" t="s">
        <v>196</v>
      </c>
      <c r="E8" s="56" t="s">
        <v>10</v>
      </c>
      <c r="F8" s="62" t="s">
        <v>89</v>
      </c>
      <c r="G8" s="62" t="s">
        <v>90</v>
      </c>
      <c r="H8" s="6">
        <f t="shared" si="0"/>
        <v>1049.1519000000001</v>
      </c>
      <c r="I8" s="7">
        <f>(H7+H8)/H11</f>
        <v>0.22438557950384497</v>
      </c>
      <c r="J8" s="64" t="s">
        <v>228</v>
      </c>
      <c r="K8" s="6">
        <v>198.5</v>
      </c>
      <c r="L8" s="18">
        <v>6</v>
      </c>
      <c r="M8" s="6">
        <f>K8*0.8809</f>
        <v>174.85865000000001</v>
      </c>
      <c r="N8" s="6">
        <v>214.5</v>
      </c>
      <c r="O8" s="6">
        <f>N8*B19</f>
        <v>200.72909999999999</v>
      </c>
      <c r="P8" s="6">
        <f t="shared" si="1"/>
        <v>1204.3745999999999</v>
      </c>
      <c r="Q8" s="7"/>
      <c r="R8" s="7">
        <f t="shared" si="2"/>
        <v>0.14795064470645269</v>
      </c>
      <c r="S8" s="7"/>
      <c r="T8" s="7">
        <v>1.6439454691259021E-2</v>
      </c>
    </row>
    <row r="9" spans="1:20">
      <c r="A9" s="62" t="s">
        <v>46</v>
      </c>
      <c r="B9" s="61" t="s">
        <v>204</v>
      </c>
      <c r="C9" s="62" t="s">
        <v>205</v>
      </c>
      <c r="D9" s="62" t="s">
        <v>206</v>
      </c>
      <c r="E9" s="62" t="s">
        <v>20</v>
      </c>
      <c r="F9" s="62" t="s">
        <v>21</v>
      </c>
      <c r="G9" s="56" t="s">
        <v>22</v>
      </c>
      <c r="H9" s="6">
        <f t="shared" si="0"/>
        <v>1085.3436160000001</v>
      </c>
      <c r="I9" s="7">
        <f>(H9)/H11</f>
        <v>0.11730136712875326</v>
      </c>
      <c r="J9" s="64" t="s">
        <v>229</v>
      </c>
      <c r="K9" s="6">
        <v>177.28</v>
      </c>
      <c r="L9" s="18">
        <v>7</v>
      </c>
      <c r="M9" s="6">
        <f>K9*0.8746</f>
        <v>155.04908800000001</v>
      </c>
      <c r="N9" s="6">
        <v>265.91000000000003</v>
      </c>
      <c r="O9" s="6">
        <f>N9*B17</f>
        <v>238.94672600000001</v>
      </c>
      <c r="P9" s="6">
        <f t="shared" si="1"/>
        <v>1672.627082</v>
      </c>
      <c r="Q9" s="7"/>
      <c r="R9" s="7">
        <f t="shared" si="2"/>
        <v>0.54110371806895097</v>
      </c>
      <c r="S9" s="7"/>
      <c r="T9" s="7">
        <v>9.1240254655636129E-3</v>
      </c>
    </row>
    <row r="10" spans="1:20">
      <c r="A10" s="56" t="s">
        <v>38</v>
      </c>
      <c r="B10" s="63" t="s">
        <v>220</v>
      </c>
      <c r="C10" s="64" t="s">
        <v>211</v>
      </c>
      <c r="D10" s="64" t="s">
        <v>221</v>
      </c>
      <c r="E10" s="64" t="s">
        <v>20</v>
      </c>
      <c r="F10" s="64" t="s">
        <v>21</v>
      </c>
      <c r="G10" s="56" t="s">
        <v>22</v>
      </c>
      <c r="H10" s="6">
        <f t="shared" si="0"/>
        <v>952.5181140000002</v>
      </c>
      <c r="I10" s="7">
        <f>H10/H11</f>
        <v>0.10294590150065587</v>
      </c>
      <c r="J10" s="64" t="s">
        <v>222</v>
      </c>
      <c r="K10" s="6">
        <v>121.01</v>
      </c>
      <c r="L10" s="18">
        <v>9</v>
      </c>
      <c r="M10" s="6">
        <f>K10*0.8746</f>
        <v>105.83534600000002</v>
      </c>
      <c r="N10" s="6">
        <v>170.4</v>
      </c>
      <c r="O10" s="6">
        <f>N10*B17</f>
        <v>153.12144000000001</v>
      </c>
      <c r="P10" s="6">
        <f t="shared" si="1"/>
        <v>1378.0929599999999</v>
      </c>
      <c r="Q10" s="7"/>
      <c r="R10" s="7">
        <f t="shared" si="2"/>
        <v>0.44678924184742558</v>
      </c>
      <c r="S10" s="7"/>
      <c r="T10" s="7">
        <v>0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11212.53493</v>
      </c>
      <c r="Q11" s="12"/>
      <c r="R11" s="12">
        <f t="shared" si="2"/>
        <v>0.21182421574026161</v>
      </c>
      <c r="S11" s="12">
        <v>0.15540000000000001</v>
      </c>
      <c r="T11" s="12">
        <f>AVERAGE(T2:T10)</f>
        <v>1.8804030240129183E-2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5" t="s">
        <v>223</v>
      </c>
      <c r="K13" s="15">
        <v>2009.6</v>
      </c>
      <c r="L13" s="20"/>
      <c r="M13" s="15"/>
      <c r="N13" s="15">
        <f>'170830_langfr_Geldanlage'!N14</f>
        <v>2141.12</v>
      </c>
      <c r="O13" s="15"/>
      <c r="P13" s="15"/>
      <c r="Q13" s="16"/>
      <c r="R13" s="16">
        <f>(N13-K13)/K13</f>
        <v>6.5445859872611464E-2</v>
      </c>
      <c r="S13" s="16">
        <v>4.8800000000000003E-2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0.89859999999999995</v>
      </c>
    </row>
    <row r="18" spans="1:3">
      <c r="A18" s="35" t="s">
        <v>118</v>
      </c>
      <c r="B18" s="1">
        <f>'170830_langfr_Geldanlage'!B19</f>
        <v>1.1447000000000001</v>
      </c>
    </row>
    <row r="19" spans="1:3">
      <c r="A19" s="59" t="s">
        <v>90</v>
      </c>
      <c r="B19" s="35">
        <f>'171004_langfr_Geldanlage'!B18</f>
        <v>0.93579999999999997</v>
      </c>
    </row>
    <row r="20" spans="1:3">
      <c r="A20" s="59" t="s">
        <v>50</v>
      </c>
      <c r="B20" s="1">
        <f>'170830_langfr_Geldanlage'!B22</f>
        <v>9.4200000000000006E-2</v>
      </c>
    </row>
    <row r="23" spans="1:3">
      <c r="A23" s="48" t="s">
        <v>123</v>
      </c>
      <c r="B23" s="49">
        <f>'170830_langfr_Geldanlage'!B25</f>
        <v>43890</v>
      </c>
      <c r="C23" s="67" t="s">
        <v>227</v>
      </c>
    </row>
    <row r="24" spans="1:3">
      <c r="A24" s="48" t="s">
        <v>124</v>
      </c>
      <c r="B24" s="2">
        <v>1.33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2020-03-02T23:00:57Z</dcterms:modified>
</cp:coreProperties>
</file>